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240" yWindow="45" windowWidth="19440" windowHeight="8130"/>
  </bookViews>
  <sheets>
    <sheet name="СП Дон" sheetId="2" r:id="rId1"/>
    <sheet name="Зерновой дом" sheetId="1" r:id="rId2"/>
    <sheet name="Лист1" sheetId="5" state="hidden" r:id="rId3"/>
    <sheet name="Лист2" sheetId="6" state="hidden" r:id="rId4"/>
    <sheet name="Лист3" sheetId="7" state="hidden" r:id="rId5"/>
    <sheet name="Реализация по договорам" sheetId="4" state="hidden" r:id="rId6"/>
  </sheets>
  <definedNames>
    <definedName name="_xlnm._FilterDatabase" localSheetId="5" hidden="1">'Реализация по договорам'!$A$3:$K$17</definedName>
    <definedName name="_xlnm.Print_Area" localSheetId="1">'Зерновой дом'!$A$1:$Z$33</definedName>
    <definedName name="_xlnm.Print_Area" localSheetId="0">'СП Дон'!$A$1:$Y$34</definedName>
  </definedNames>
  <calcPr calcId="125725"/>
  <pivotCaches>
    <pivotCache cacheId="0" r:id="rId7"/>
    <pivotCache cacheId="1" r:id="rId8"/>
  </pivotCaches>
</workbook>
</file>

<file path=xl/calcChain.xml><?xml version="1.0" encoding="utf-8"?>
<calcChain xmlns="http://schemas.openxmlformats.org/spreadsheetml/2006/main">
  <c r="O7" i="1"/>
  <c r="L25"/>
  <c r="H8" i="2"/>
  <c r="H10" i="1" l="1"/>
  <c r="L10" s="1"/>
  <c r="V4"/>
  <c r="H7"/>
  <c r="F10" l="1"/>
  <c r="F17" i="4"/>
  <c r="K17" l="1"/>
  <c r="H17"/>
  <c r="J21" i="1" l="1"/>
  <c r="H44" i="4"/>
  <c r="C23" i="1"/>
  <c r="H9" i="2"/>
  <c r="L11" i="1" l="1"/>
  <c r="N27" l="1"/>
  <c r="O11"/>
  <c r="N25" i="2"/>
  <c r="B25"/>
  <c r="C25" s="1"/>
  <c r="F9" l="1"/>
  <c r="T4" i="1"/>
  <c r="B13" l="1"/>
  <c r="D10"/>
  <c r="D9" i="2"/>
  <c r="K20"/>
  <c r="K1" i="4"/>
  <c r="I47"/>
  <c r="K47" s="1"/>
  <c r="F47"/>
  <c r="I48"/>
  <c r="K48" s="1"/>
  <c r="F48"/>
  <c r="F10" i="2"/>
  <c r="J44" i="4" l="1"/>
  <c r="F16"/>
  <c r="I16"/>
  <c r="K16" s="1"/>
  <c r="J46" l="1"/>
  <c r="F46"/>
  <c r="K46" l="1"/>
  <c r="I45"/>
  <c r="F45"/>
  <c r="E22" i="2"/>
  <c r="F22" s="1"/>
  <c r="L10"/>
  <c r="J45" i="4" l="1"/>
  <c r="J49" s="1"/>
  <c r="D21" i="1"/>
  <c r="D20" i="2"/>
  <c r="K45" i="4" l="1"/>
  <c r="H6" i="1"/>
  <c r="I14" i="4" l="1"/>
  <c r="K14" s="1"/>
  <c r="I15"/>
  <c r="J15" s="1"/>
  <c r="J18" s="1"/>
  <c r="K44"/>
  <c r="F44"/>
  <c r="I43"/>
  <c r="F43"/>
  <c r="F15"/>
  <c r="F14"/>
  <c r="T5" i="2"/>
  <c r="H8" i="1"/>
  <c r="L8" s="1"/>
  <c r="H9"/>
  <c r="W10"/>
  <c r="K41" i="4"/>
  <c r="K42"/>
  <c r="I9"/>
  <c r="K9" s="1"/>
  <c r="S11" i="1" l="1"/>
  <c r="S8"/>
  <c r="T8"/>
  <c r="U8"/>
  <c r="V8"/>
  <c r="W8"/>
  <c r="S9"/>
  <c r="T9"/>
  <c r="U9"/>
  <c r="V9"/>
  <c r="W9"/>
  <c r="S10"/>
  <c r="T10"/>
  <c r="U10"/>
  <c r="V10"/>
  <c r="T11"/>
  <c r="U11"/>
  <c r="V11"/>
  <c r="W11"/>
  <c r="F8"/>
  <c r="F11"/>
  <c r="D11"/>
  <c r="D8"/>
  <c r="Z10" l="1"/>
  <c r="Z9"/>
  <c r="Z11"/>
  <c r="K15" i="4"/>
  <c r="Z8" i="1"/>
  <c r="N20" i="2"/>
  <c r="L8" l="1"/>
  <c r="V8" s="1"/>
  <c r="L9"/>
  <c r="V9" s="1"/>
  <c r="F8"/>
  <c r="D8"/>
  <c r="I13" i="4" l="1"/>
  <c r="K13" s="1"/>
  <c r="F13"/>
  <c r="I12"/>
  <c r="K12" s="1"/>
  <c r="F12"/>
  <c r="K22" i="1"/>
  <c r="M22" s="1"/>
  <c r="K23"/>
  <c r="M23" s="1"/>
  <c r="K24"/>
  <c r="K25"/>
  <c r="K26"/>
  <c r="K27"/>
  <c r="K21"/>
  <c r="M21" s="1"/>
  <c r="H22"/>
  <c r="I22" s="1"/>
  <c r="H23"/>
  <c r="H24"/>
  <c r="H25"/>
  <c r="H26"/>
  <c r="H27"/>
  <c r="H21"/>
  <c r="I21" s="1"/>
  <c r="E22"/>
  <c r="E23"/>
  <c r="G23" s="1"/>
  <c r="E24"/>
  <c r="E25"/>
  <c r="E26"/>
  <c r="E27"/>
  <c r="E21"/>
  <c r="B22"/>
  <c r="B24"/>
  <c r="D24" s="1"/>
  <c r="N24" s="1"/>
  <c r="B25"/>
  <c r="D25" s="1"/>
  <c r="B26"/>
  <c r="D26" s="1"/>
  <c r="N26" s="1"/>
  <c r="B27"/>
  <c r="C27" s="1"/>
  <c r="K43" i="4"/>
  <c r="I40"/>
  <c r="K40" s="1"/>
  <c r="F40"/>
  <c r="I39"/>
  <c r="K39" s="1"/>
  <c r="F39"/>
  <c r="I38"/>
  <c r="K38" s="1"/>
  <c r="F38"/>
  <c r="I37"/>
  <c r="K37" s="1"/>
  <c r="F37"/>
  <c r="F9"/>
  <c r="I10"/>
  <c r="K10" s="1"/>
  <c r="F10"/>
  <c r="K8"/>
  <c r="F8"/>
  <c r="K11"/>
  <c r="I7"/>
  <c r="K7" s="1"/>
  <c r="F7"/>
  <c r="I6"/>
  <c r="K6" s="1"/>
  <c r="F6"/>
  <c r="I5"/>
  <c r="K5" s="1"/>
  <c r="F5"/>
  <c r="I4"/>
  <c r="K4" s="1"/>
  <c r="F4"/>
  <c r="K21" i="2"/>
  <c r="M21" s="1"/>
  <c r="K22"/>
  <c r="K23"/>
  <c r="K24"/>
  <c r="K26"/>
  <c r="N25" i="1" l="1"/>
  <c r="N21"/>
  <c r="N23"/>
  <c r="N22"/>
  <c r="H21" i="2"/>
  <c r="H22"/>
  <c r="H23"/>
  <c r="H24"/>
  <c r="H26"/>
  <c r="H20"/>
  <c r="I20" s="1"/>
  <c r="E21"/>
  <c r="E23"/>
  <c r="E24"/>
  <c r="E26"/>
  <c r="E20"/>
  <c r="B21"/>
  <c r="B22"/>
  <c r="B23"/>
  <c r="B24"/>
  <c r="N24" s="1"/>
  <c r="B26"/>
  <c r="D26" s="1"/>
  <c r="N26" s="1"/>
  <c r="N23"/>
  <c r="N22"/>
  <c r="N21" l="1"/>
  <c r="N27" s="1"/>
  <c r="C21"/>
  <c r="N28" i="1"/>
  <c r="D6"/>
  <c r="R6" i="2"/>
  <c r="H7"/>
  <c r="L7" s="1"/>
  <c r="V7" s="1"/>
  <c r="F7"/>
  <c r="D7"/>
  <c r="H4"/>
  <c r="L4" s="1"/>
  <c r="H4" i="1" l="1"/>
  <c r="L4" s="1"/>
  <c r="V7" l="1"/>
  <c r="U7"/>
  <c r="T7"/>
  <c r="S7"/>
  <c r="L7"/>
  <c r="W7" s="1"/>
  <c r="V6"/>
  <c r="U6"/>
  <c r="T6"/>
  <c r="S6"/>
  <c r="L6"/>
  <c r="W6" s="1"/>
  <c r="V5"/>
  <c r="U5"/>
  <c r="T5"/>
  <c r="S5"/>
  <c r="H5"/>
  <c r="L5" s="1"/>
  <c r="W5" s="1"/>
  <c r="U4"/>
  <c r="S4"/>
  <c r="W4"/>
  <c r="Z5" l="1"/>
  <c r="Z6"/>
  <c r="Z7"/>
  <c r="Z4"/>
  <c r="U5" i="2"/>
  <c r="U6"/>
  <c r="U7"/>
  <c r="U8"/>
  <c r="U9"/>
  <c r="U10"/>
  <c r="T6"/>
  <c r="T7"/>
  <c r="T8"/>
  <c r="T9"/>
  <c r="T10"/>
  <c r="S5"/>
  <c r="S6"/>
  <c r="S7"/>
  <c r="S8"/>
  <c r="S9"/>
  <c r="S10"/>
  <c r="R5"/>
  <c r="R7"/>
  <c r="R8"/>
  <c r="R9"/>
  <c r="R10"/>
  <c r="S4"/>
  <c r="R4"/>
  <c r="H5"/>
  <c r="L5" s="1"/>
  <c r="V5" s="1"/>
  <c r="H6"/>
  <c r="L6" s="1"/>
  <c r="V6" s="1"/>
  <c r="V4"/>
  <c r="U4"/>
  <c r="B13"/>
  <c r="T4"/>
  <c r="F6"/>
  <c r="D6"/>
  <c r="F5"/>
  <c r="D5"/>
  <c r="F4"/>
  <c r="D4"/>
  <c r="Y4" l="1"/>
  <c r="Y8"/>
  <c r="V10"/>
  <c r="Y10" s="1"/>
  <c r="Y5"/>
  <c r="Y6"/>
  <c r="Y9"/>
  <c r="Y7"/>
  <c r="F4" i="1"/>
  <c r="F5"/>
  <c r="F7"/>
  <c r="F6"/>
  <c r="D4"/>
  <c r="D5"/>
  <c r="D7"/>
</calcChain>
</file>

<file path=xl/comments1.xml><?xml version="1.0" encoding="utf-8"?>
<comments xmlns="http://schemas.openxmlformats.org/spreadsheetml/2006/main">
  <authors>
    <author>Решенина</author>
  </authors>
  <commentList>
    <comment ref="N9" authorId="0">
      <text>
        <r>
          <rPr>
            <b/>
            <sz val="9"/>
            <color indexed="81"/>
            <rFont val="Tahoma"/>
            <family val="2"/>
            <charset val="204"/>
          </rPr>
          <t>Решенина:</t>
        </r>
        <r>
          <rPr>
            <sz val="9"/>
            <color indexed="81"/>
            <rFont val="Tahoma"/>
            <family val="2"/>
            <charset val="204"/>
          </rPr>
          <t xml:space="preserve">
вывезено на завод согласно отчетов весовщика</t>
        </r>
      </text>
    </comment>
  </commentList>
</comments>
</file>

<file path=xl/comments2.xml><?xml version="1.0" encoding="utf-8"?>
<comments xmlns="http://schemas.openxmlformats.org/spreadsheetml/2006/main">
  <authors>
    <author>Решенина</author>
  </authors>
  <commentList>
    <comment ref="G10" authorId="0">
      <text>
        <r>
          <rPr>
            <b/>
            <sz val="9"/>
            <color indexed="81"/>
            <rFont val="Tahoma"/>
            <family val="2"/>
            <charset val="204"/>
          </rPr>
          <t>Решенина:</t>
        </r>
        <r>
          <rPr>
            <sz val="9"/>
            <color indexed="81"/>
            <rFont val="Tahoma"/>
            <family val="2"/>
            <charset val="204"/>
          </rPr>
          <t xml:space="preserve">
данные на 30.12.16
</t>
        </r>
      </text>
    </comment>
    <comment ref="O10" authorId="0">
      <text>
        <r>
          <rPr>
            <b/>
            <sz val="9"/>
            <color indexed="81"/>
            <rFont val="Tahoma"/>
            <family val="2"/>
            <charset val="204"/>
          </rPr>
          <t>Решенина:</t>
        </r>
        <r>
          <rPr>
            <sz val="9"/>
            <color indexed="81"/>
            <rFont val="Tahoma"/>
            <family val="2"/>
            <charset val="204"/>
          </rPr>
          <t xml:space="preserve">
вывезено на завод согласно отчетов весовщика</t>
        </r>
      </text>
    </comment>
    <comment ref="B21" authorId="0">
      <text>
        <r>
          <rPr>
            <b/>
            <sz val="9"/>
            <color indexed="81"/>
            <rFont val="Tahoma"/>
            <family val="2"/>
            <charset val="204"/>
          </rPr>
          <t>Решенина:</t>
        </r>
        <r>
          <rPr>
            <sz val="9"/>
            <color indexed="81"/>
            <rFont val="Tahoma"/>
            <family val="2"/>
            <charset val="204"/>
          </rPr>
          <t xml:space="preserve">
реализация семян в СП ДОН</t>
        </r>
      </text>
    </comment>
  </commentList>
</comments>
</file>

<file path=xl/sharedStrings.xml><?xml version="1.0" encoding="utf-8"?>
<sst xmlns="http://schemas.openxmlformats.org/spreadsheetml/2006/main" count="331" uniqueCount="89">
  <si>
    <t>Дата</t>
  </si>
  <si>
    <t>Культура</t>
  </si>
  <si>
    <t>Уборочная площадь, га</t>
  </si>
  <si>
    <t>Валовый сбор в Ф.В</t>
  </si>
  <si>
    <t>Урожайность ц/га</t>
  </si>
  <si>
    <t>Мертвые отходы, усушка</t>
  </si>
  <si>
    <t>Всего сортового зерна ,тонн</t>
  </si>
  <si>
    <t>тонн</t>
  </si>
  <si>
    <t>%</t>
  </si>
  <si>
    <t>3 класс</t>
  </si>
  <si>
    <t>4 класс</t>
  </si>
  <si>
    <t>семена</t>
  </si>
  <si>
    <t>фуражного</t>
  </si>
  <si>
    <t>Итого</t>
  </si>
  <si>
    <t>Оз пшеница</t>
  </si>
  <si>
    <t>Горох</t>
  </si>
  <si>
    <t>Яр. Пшеница</t>
  </si>
  <si>
    <t>Ячмень</t>
  </si>
  <si>
    <t>Соя</t>
  </si>
  <si>
    <t>Подсолнечник</t>
  </si>
  <si>
    <t>Кукуруза</t>
  </si>
  <si>
    <t>Зерноотходы</t>
  </si>
  <si>
    <t>на семена</t>
  </si>
  <si>
    <t>фуражное зерно</t>
  </si>
  <si>
    <t>Сев собственными семенами</t>
  </si>
  <si>
    <t>Реализация</t>
  </si>
  <si>
    <t>Сортовое, в том числе</t>
  </si>
  <si>
    <t>Фуражное зерно</t>
  </si>
  <si>
    <t>Сахарная свекла</t>
  </si>
  <si>
    <t>Остаток</t>
  </si>
  <si>
    <t>Семена</t>
  </si>
  <si>
    <t>Пшеница</t>
  </si>
  <si>
    <t>Остатки</t>
  </si>
  <si>
    <t>Цена</t>
  </si>
  <si>
    <t>Сумма</t>
  </si>
  <si>
    <t>ООО "СП Дон"</t>
  </si>
  <si>
    <t>Организация</t>
  </si>
  <si>
    <t>Кол-во по договору</t>
  </si>
  <si>
    <t>Отгружено факт</t>
  </si>
  <si>
    <t>цена</t>
  </si>
  <si>
    <t>Продукция</t>
  </si>
  <si>
    <t>Класс</t>
  </si>
  <si>
    <t>Новооскольский элеватор</t>
  </si>
  <si>
    <t>5 класс</t>
  </si>
  <si>
    <t>Оплачено</t>
  </si>
  <si>
    <t>Фасад-Комплект</t>
  </si>
  <si>
    <t>Агропродукт</t>
  </si>
  <si>
    <t>Дон-маркет</t>
  </si>
  <si>
    <t>Ворон-Ойл</t>
  </si>
  <si>
    <t>физлица</t>
  </si>
  <si>
    <t>зерноотходы</t>
  </si>
  <si>
    <t>Названия строк</t>
  </si>
  <si>
    <t>Общий итог</t>
  </si>
  <si>
    <t>Сумма по полю Кол-во по договору</t>
  </si>
  <si>
    <t>Значения</t>
  </si>
  <si>
    <t>Агроинвест</t>
  </si>
  <si>
    <t>Сумма по договору</t>
  </si>
  <si>
    <t>Сумма по полю Отгружено факт</t>
  </si>
  <si>
    <t>Сумма по полю Сумма2</t>
  </si>
  <si>
    <t>Количество по договору</t>
  </si>
  <si>
    <t>Сумма факт</t>
  </si>
  <si>
    <t>ООО "Зерновой Дом"</t>
  </si>
  <si>
    <t>Орион</t>
  </si>
  <si>
    <t>Филиция</t>
  </si>
  <si>
    <t>МОЛТ ХАУЗ</t>
  </si>
  <si>
    <t>отказ</t>
  </si>
  <si>
    <t>Сан Агро</t>
  </si>
  <si>
    <t>Новолипецкий зерновой терминальный комплекс</t>
  </si>
  <si>
    <t>Профит</t>
  </si>
  <si>
    <t>яровая</t>
  </si>
  <si>
    <t>цена2</t>
  </si>
  <si>
    <t>Сумма2</t>
  </si>
  <si>
    <t>Оплата</t>
  </si>
  <si>
    <t>Реализация, отгружено фактически</t>
  </si>
  <si>
    <t>Законтрактовано</t>
  </si>
  <si>
    <t>фураж</t>
  </si>
  <si>
    <t>Подворье</t>
  </si>
  <si>
    <t>Агрочерноземье</t>
  </si>
  <si>
    <t>семена 80 тонн - на 665 тыс.</t>
  </si>
  <si>
    <t>Кукуруза (завод)</t>
  </si>
  <si>
    <t>отгрузка на завод</t>
  </si>
  <si>
    <t>АПК Зерноресурс Экспорт</t>
  </si>
  <si>
    <t>Цена с ндс</t>
  </si>
  <si>
    <t>* кукуруза усушка 489,080 тонн</t>
  </si>
  <si>
    <t>* кукуруза усушка 261,060 тонн и 527,65 тонн</t>
  </si>
  <si>
    <t xml:space="preserve">отгружено на КПЗ </t>
  </si>
  <si>
    <t>мертвых</t>
  </si>
  <si>
    <t>Зернофуражный баланс  ООО "СП Дон" на 26.04.2017</t>
  </si>
  <si>
    <t>Зернофуражный баланс  ООО "Зерновой дом" на 26.04.2017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</si>
</sst>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0" fontId="2" fillId="0" borderId="0" xfId="0" applyFont="1"/>
    <xf numFmtId="0" fontId="4" fillId="0" borderId="7" xfId="0" applyFont="1" applyBorder="1"/>
    <xf numFmtId="0" fontId="4" fillId="0" borderId="6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6" xfId="0" applyFont="1" applyBorder="1"/>
    <xf numFmtId="0" fontId="4" fillId="0" borderId="12" xfId="0" applyFont="1" applyBorder="1"/>
    <xf numFmtId="0" fontId="4" fillId="0" borderId="0" xfId="0" applyFont="1"/>
    <xf numFmtId="0" fontId="4" fillId="0" borderId="10" xfId="0" applyFont="1" applyBorder="1" applyAlignment="1">
      <alignment horizontal="center"/>
    </xf>
    <xf numFmtId="0" fontId="4" fillId="0" borderId="25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12" xfId="0" applyFont="1" applyBorder="1" applyAlignment="1">
      <alignment horizontal="center"/>
    </xf>
    <xf numFmtId="2" fontId="4" fillId="0" borderId="12" xfId="0" applyNumberFormat="1" applyFont="1" applyBorder="1"/>
    <xf numFmtId="0" fontId="4" fillId="0" borderId="26" xfId="0" applyFont="1" applyBorder="1"/>
    <xf numFmtId="0" fontId="4" fillId="0" borderId="28" xfId="0" applyFont="1" applyBorder="1" applyAlignment="1">
      <alignment horizontal="center"/>
    </xf>
    <xf numFmtId="0" fontId="6" fillId="0" borderId="29" xfId="0" applyFont="1" applyBorder="1"/>
    <xf numFmtId="2" fontId="4" fillId="0" borderId="29" xfId="0" applyNumberFormat="1" applyFont="1" applyBorder="1"/>
    <xf numFmtId="0" fontId="6" fillId="0" borderId="30" xfId="0" applyFont="1" applyBorder="1"/>
    <xf numFmtId="2" fontId="4" fillId="0" borderId="29" xfId="0" applyNumberFormat="1" applyFont="1" applyBorder="1" applyAlignment="1">
      <alignment horizontal="center" vertical="center"/>
    </xf>
    <xf numFmtId="0" fontId="6" fillId="0" borderId="31" xfId="0" applyFont="1" applyBorder="1"/>
    <xf numFmtId="0" fontId="6" fillId="0" borderId="28" xfId="0" applyFont="1" applyBorder="1"/>
    <xf numFmtId="0" fontId="6" fillId="0" borderId="0" xfId="0" applyFont="1"/>
    <xf numFmtId="0" fontId="6" fillId="0" borderId="11" xfId="0" applyFont="1" applyBorder="1"/>
    <xf numFmtId="0" fontId="4" fillId="0" borderId="30" xfId="0" applyFont="1" applyBorder="1"/>
    <xf numFmtId="0" fontId="1" fillId="0" borderId="0" xfId="0" applyFont="1" applyBorder="1"/>
    <xf numFmtId="0" fontId="5" fillId="0" borderId="0" xfId="0" applyFont="1" applyAlignment="1">
      <alignment horizontal="center"/>
    </xf>
    <xf numFmtId="14" fontId="1" fillId="0" borderId="0" xfId="0" applyNumberFormat="1" applyFont="1"/>
    <xf numFmtId="2" fontId="4" fillId="0" borderId="12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2" fontId="4" fillId="0" borderId="29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4" fillId="0" borderId="32" xfId="0" applyFont="1" applyBorder="1"/>
    <xf numFmtId="0" fontId="4" fillId="0" borderId="32" xfId="0" applyFont="1" applyBorder="1" applyAlignment="1">
      <alignment horizontal="center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horizont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0" fillId="0" borderId="14" xfId="0" applyBorder="1"/>
    <xf numFmtId="0" fontId="3" fillId="0" borderId="0" xfId="0" applyFont="1" applyBorder="1"/>
    <xf numFmtId="14" fontId="3" fillId="0" borderId="0" xfId="0" applyNumberFormat="1" applyFont="1"/>
    <xf numFmtId="3" fontId="7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4" xfId="0" pivotButton="1" applyBorder="1"/>
    <xf numFmtId="0" fontId="0" fillId="0" borderId="14" xfId="0" applyBorder="1" applyAlignment="1">
      <alignment horizontal="left"/>
    </xf>
    <xf numFmtId="0" fontId="0" fillId="0" borderId="14" xfId="0" applyNumberFormat="1" applyBorder="1"/>
    <xf numFmtId="0" fontId="0" fillId="0" borderId="14" xfId="0" applyBorder="1" applyAlignment="1">
      <alignment horizontal="left" indent="1"/>
    </xf>
    <xf numFmtId="0" fontId="0" fillId="0" borderId="14" xfId="0" pivotButton="1" applyBorder="1" applyAlignment="1">
      <alignment wrapText="1"/>
    </xf>
    <xf numFmtId="0" fontId="9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36" xfId="0" applyFont="1" applyBorder="1"/>
    <xf numFmtId="0" fontId="4" fillId="0" borderId="15" xfId="0" applyFont="1" applyBorder="1"/>
    <xf numFmtId="3" fontId="7" fillId="0" borderId="38" xfId="0" applyNumberFormat="1" applyFont="1" applyBorder="1" applyAlignment="1">
      <alignment horizontal="center" vertical="center"/>
    </xf>
    <xf numFmtId="3" fontId="7" fillId="0" borderId="39" xfId="0" applyNumberFormat="1" applyFont="1" applyBorder="1" applyAlignment="1">
      <alignment horizontal="center" vertical="center"/>
    </xf>
    <xf numFmtId="0" fontId="1" fillId="0" borderId="21" xfId="0" applyFont="1" applyBorder="1"/>
    <xf numFmtId="0" fontId="1" fillId="0" borderId="22" xfId="0" applyFont="1" applyBorder="1"/>
    <xf numFmtId="3" fontId="7" fillId="0" borderId="39" xfId="0" applyNumberFormat="1" applyFont="1" applyBorder="1"/>
    <xf numFmtId="3" fontId="8" fillId="0" borderId="40" xfId="0" applyNumberFormat="1" applyFont="1" applyBorder="1"/>
    <xf numFmtId="3" fontId="7" fillId="0" borderId="41" xfId="0" applyNumberFormat="1" applyFont="1" applyBorder="1" applyAlignment="1">
      <alignment horizontal="center" vertical="center"/>
    </xf>
    <xf numFmtId="3" fontId="7" fillId="0" borderId="32" xfId="0" applyNumberFormat="1" applyFont="1" applyBorder="1" applyAlignment="1">
      <alignment horizontal="center" vertical="center"/>
    </xf>
    <xf numFmtId="3" fontId="7" fillId="0" borderId="42" xfId="0" applyNumberFormat="1" applyFont="1" applyBorder="1" applyAlignment="1">
      <alignment horizontal="center" vertical="center"/>
    </xf>
    <xf numFmtId="3" fontId="7" fillId="0" borderId="42" xfId="0" applyNumberFormat="1" applyFont="1" applyBorder="1"/>
    <xf numFmtId="3" fontId="8" fillId="0" borderId="43" xfId="0" applyNumberFormat="1" applyFont="1" applyBorder="1"/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/>
    <xf numFmtId="0" fontId="10" fillId="0" borderId="0" xfId="0" applyFont="1"/>
    <xf numFmtId="14" fontId="0" fillId="0" borderId="0" xfId="0" applyNumberFormat="1"/>
    <xf numFmtId="0" fontId="0" fillId="3" borderId="14" xfId="0" applyFill="1" applyBorder="1"/>
    <xf numFmtId="0" fontId="1" fillId="0" borderId="45" xfId="0" applyFont="1" applyBorder="1" applyAlignment="1">
      <alignment horizontal="center" vertical="center" wrapText="1"/>
    </xf>
    <xf numFmtId="0" fontId="0" fillId="4" borderId="14" xfId="0" applyFill="1" applyBorder="1"/>
    <xf numFmtId="0" fontId="0" fillId="4" borderId="14" xfId="0" applyFill="1" applyBorder="1" applyAlignment="1">
      <alignment wrapText="1"/>
    </xf>
    <xf numFmtId="0" fontId="0" fillId="0" borderId="0" xfId="0" applyFill="1" applyBorder="1"/>
    <xf numFmtId="0" fontId="3" fillId="0" borderId="0" xfId="0" applyFont="1"/>
    <xf numFmtId="3" fontId="8" fillId="0" borderId="0" xfId="0" applyNumberFormat="1" applyFont="1"/>
    <xf numFmtId="2" fontId="4" fillId="0" borderId="32" xfId="0" applyNumberFormat="1" applyFont="1" applyBorder="1"/>
    <xf numFmtId="4" fontId="0" fillId="4" borderId="14" xfId="0" applyNumberFormat="1" applyFill="1" applyBorder="1"/>
    <xf numFmtId="4" fontId="11" fillId="4" borderId="14" xfId="0" applyNumberFormat="1" applyFont="1" applyFill="1" applyBorder="1"/>
    <xf numFmtId="4" fontId="0" fillId="3" borderId="14" xfId="0" applyNumberFormat="1" applyFill="1" applyBorder="1"/>
    <xf numFmtId="4" fontId="0" fillId="0" borderId="0" xfId="0" applyNumberFormat="1" applyFill="1" applyBorder="1"/>
    <xf numFmtId="4" fontId="0" fillId="0" borderId="14" xfId="0" applyNumberFormat="1" applyBorder="1"/>
    <xf numFmtId="0" fontId="4" fillId="0" borderId="10" xfId="0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3" fontId="7" fillId="0" borderId="0" xfId="0" applyNumberFormat="1" applyFont="1"/>
    <xf numFmtId="0" fontId="4" fillId="3" borderId="28" xfId="0" applyFont="1" applyFill="1" applyBorder="1"/>
    <xf numFmtId="0" fontId="11" fillId="4" borderId="14" xfId="0" applyFont="1" applyFill="1" applyBorder="1"/>
    <xf numFmtId="3" fontId="7" fillId="0" borderId="22" xfId="0" applyNumberFormat="1" applyFont="1" applyBorder="1" applyAlignment="1">
      <alignment horizontal="center"/>
    </xf>
    <xf numFmtId="3" fontId="7" fillId="0" borderId="21" xfId="0" applyNumberFormat="1" applyFont="1" applyBorder="1"/>
    <xf numFmtId="0" fontId="15" fillId="0" borderId="0" xfId="0" applyFont="1"/>
    <xf numFmtId="2" fontId="12" fillId="0" borderId="13" xfId="0" applyNumberFormat="1" applyFont="1" applyBorder="1" applyAlignment="1">
      <alignment horizontal="center" vertical="center"/>
    </xf>
    <xf numFmtId="2" fontId="4" fillId="2" borderId="10" xfId="0" applyNumberFormat="1" applyFont="1" applyFill="1" applyBorder="1" applyAlignment="1">
      <alignment horizontal="center" vertical="center"/>
    </xf>
    <xf numFmtId="0" fontId="4" fillId="2" borderId="32" xfId="0" applyFont="1" applyFill="1" applyBorder="1"/>
    <xf numFmtId="2" fontId="4" fillId="2" borderId="11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6" xfId="0" applyFont="1" applyBorder="1"/>
    <xf numFmtId="0" fontId="4" fillId="0" borderId="26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" fillId="0" borderId="26" xfId="0" applyFont="1" applyBorder="1" applyAlignment="1"/>
    <xf numFmtId="0" fontId="4" fillId="2" borderId="26" xfId="0" applyFont="1" applyFill="1" applyBorder="1" applyAlignment="1"/>
    <xf numFmtId="2" fontId="4" fillId="0" borderId="26" xfId="0" applyNumberFormat="1" applyFont="1" applyBorder="1" applyAlignment="1"/>
    <xf numFmtId="0" fontId="4" fillId="0" borderId="37" xfId="0" applyFont="1" applyBorder="1" applyAlignment="1">
      <alignment vertical="center"/>
    </xf>
    <xf numFmtId="0" fontId="4" fillId="0" borderId="37" xfId="0" applyFont="1" applyBorder="1" applyAlignment="1"/>
    <xf numFmtId="0" fontId="4" fillId="2" borderId="26" xfId="0" applyFont="1" applyFill="1" applyBorder="1" applyAlignment="1">
      <alignment vertical="center"/>
    </xf>
    <xf numFmtId="0" fontId="1" fillId="0" borderId="2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10"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Решенина" refreshedDate="42731.383315740743" createdVersion="3" refreshedVersion="3" minRefreshableVersion="3" recordCount="12">
  <cacheSource type="worksheet">
    <worksheetSource ref="A36:K48" sheet="Реализация по договорам"/>
  </cacheSource>
  <cacheFields count="11">
    <cacheField name="Организация" numFmtId="0">
      <sharedItems/>
    </cacheField>
    <cacheField name="Продукция" numFmtId="0">
      <sharedItems count="2">
        <s v="Пшеница"/>
        <s v="Ячмень"/>
      </sharedItems>
    </cacheField>
    <cacheField name="Класс" numFmtId="0">
      <sharedItems count="5">
        <s v="4 класс"/>
        <s v="3 класс"/>
        <s v="зерноотходы"/>
        <s v="фураж"/>
        <s v="яровая"/>
      </sharedItems>
    </cacheField>
    <cacheField name="Кол-во по договору" numFmtId="4">
      <sharedItems containsSemiMixedTypes="0" containsString="0" containsNumber="1" minValue="55.667999999999999" maxValue="2000"/>
    </cacheField>
    <cacheField name="Цена" numFmtId="4">
      <sharedItems containsSemiMixedTypes="0" containsString="0" containsNumber="1" containsInteger="1" minValue="3000" maxValue="9500"/>
    </cacheField>
    <cacheField name="Сумма" numFmtId="4">
      <sharedItems containsSemiMixedTypes="0" containsString="0" containsNumber="1" containsInteger="1" minValue="167004" maxValue="17200000"/>
    </cacheField>
    <cacheField name="Отгружено факт" numFmtId="4">
      <sharedItems containsString="0" containsBlank="1" containsNumber="1" minValue="55.667999999999999" maxValue="1864.72"/>
    </cacheField>
    <cacheField name="цена2" numFmtId="4">
      <sharedItems containsString="0" containsBlank="1" containsNumber="1" minValue="2560" maxValue="8600"/>
    </cacheField>
    <cacheField name="Сумма2" numFmtId="4">
      <sharedItems containsSemiMixedTypes="0" containsString="0" containsNumber="1" minValue="0" maxValue="16036592"/>
    </cacheField>
    <cacheField name="Оплачено" numFmtId="4">
      <sharedItems containsString="0" containsBlank="1" containsNumber="1" minValue="162960" maxValue="16036592"/>
    </cacheField>
    <cacheField name="Остаток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Решенина" refreshedDate="42731.383316435182" createdVersion="3" refreshedVersion="3" minRefreshableVersion="3" recordCount="13">
  <cacheSource type="worksheet">
    <worksheetSource ref="A3:K16" sheet="Реализация по договорам"/>
  </cacheSource>
  <cacheFields count="11">
    <cacheField name="Организация" numFmtId="0">
      <sharedItems/>
    </cacheField>
    <cacheField name="Продукция" numFmtId="0">
      <sharedItems count="2">
        <s v="Пшеница"/>
        <s v="Ячмень"/>
      </sharedItems>
    </cacheField>
    <cacheField name="Класс" numFmtId="0">
      <sharedItems count="5">
        <s v="5 класс"/>
        <s v="4 класс"/>
        <s v="3 класс"/>
        <s v="зерноотходы"/>
        <s v="яровая"/>
      </sharedItems>
    </cacheField>
    <cacheField name="Кол-во по договору" numFmtId="0">
      <sharedItems containsSemiMixedTypes="0" containsString="0" containsNumber="1" minValue="0.11600000000000001" maxValue="2000"/>
    </cacheField>
    <cacheField name="Цена" numFmtId="0">
      <sharedItems containsString="0" containsBlank="1" containsNumber="1" containsInteger="1" minValue="4000" maxValue="9300"/>
    </cacheField>
    <cacheField name="Сумма" numFmtId="0">
      <sharedItems containsSemiMixedTypes="0" containsString="0" containsNumber="1" minValue="580" maxValue="16600000"/>
    </cacheField>
    <cacheField name="Отгружено факт" numFmtId="0">
      <sharedItems containsSemiMixedTypes="0" containsString="0" containsNumber="1" minValue="0.11600000000000001" maxValue="2000"/>
    </cacheField>
    <cacheField name="цена2" numFmtId="0">
      <sharedItems containsString="0" containsBlank="1" containsNumber="1" containsInteger="1" minValue="4000" maxValue="9300"/>
    </cacheField>
    <cacheField name="Сумма2" numFmtId="0">
      <sharedItems containsSemiMixedTypes="0" containsString="0" containsNumber="1" minValue="580" maxValue="16600000"/>
    </cacheField>
    <cacheField name="Оплачено" numFmtId="0">
      <sharedItems containsSemiMixedTypes="0" containsString="0" containsNumber="1" minValue="580" maxValue="16600000"/>
    </cacheField>
    <cacheField name="Остаток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s v="Агропродукт"/>
    <x v="0"/>
    <x v="0"/>
    <n v="600"/>
    <n v="8300"/>
    <n v="4980000"/>
    <n v="600"/>
    <n v="8300"/>
    <n v="4980000"/>
    <n v="4980000"/>
    <n v="0"/>
  </r>
  <r>
    <s v="Орион"/>
    <x v="1"/>
    <x v="1"/>
    <n v="820"/>
    <n v="8000"/>
    <n v="6560000"/>
    <n v="818.3"/>
    <n v="8000"/>
    <n v="6546400"/>
    <n v="6546400"/>
    <n v="0"/>
  </r>
  <r>
    <s v="Филиция"/>
    <x v="1"/>
    <x v="1"/>
    <n v="700"/>
    <n v="9500"/>
    <n v="6650000"/>
    <m/>
    <m/>
    <n v="0"/>
    <m/>
    <n v="0"/>
  </r>
  <r>
    <s v="МОЛТ ХАУЗ"/>
    <x v="1"/>
    <x v="1"/>
    <n v="1050"/>
    <n v="8500"/>
    <n v="8925000"/>
    <m/>
    <m/>
    <n v="0"/>
    <m/>
    <n v="0"/>
  </r>
  <r>
    <s v="физлица"/>
    <x v="0"/>
    <x v="2"/>
    <n v="100.16"/>
    <n v="3000"/>
    <n v="300480"/>
    <n v="100.16"/>
    <n v="3000"/>
    <n v="223074"/>
    <n v="223074"/>
    <n v="0"/>
  </r>
  <r>
    <s v="физлица"/>
    <x v="1"/>
    <x v="2"/>
    <n v="70.53"/>
    <n v="3000"/>
    <n v="211590"/>
    <n v="70.685000000000002"/>
    <n v="2560"/>
    <n v="211590"/>
    <n v="211590"/>
    <n v="0"/>
  </r>
  <r>
    <s v="Новолипецкий зерновой терминальный комплекс"/>
    <x v="0"/>
    <x v="0"/>
    <n v="2000"/>
    <n v="8600"/>
    <n v="17200000"/>
    <n v="1864.72"/>
    <n v="8600"/>
    <n v="16036592"/>
    <n v="16036592"/>
    <n v="0"/>
  </r>
  <r>
    <s v="Профит"/>
    <x v="0"/>
    <x v="0"/>
    <n v="606"/>
    <n v="8300"/>
    <n v="5029800"/>
    <n v="585.5"/>
    <n v="8302.8351836037582"/>
    <n v="4861310"/>
    <n v="4861310"/>
    <n v="0"/>
  </r>
  <r>
    <s v="физлица"/>
    <x v="1"/>
    <x v="3"/>
    <n v="88.64"/>
    <n v="8000"/>
    <n v="709120"/>
    <n v="68.64"/>
    <n v="2563"/>
    <n v="175924.32"/>
    <n v="175924.32"/>
    <n v="0"/>
  </r>
  <r>
    <s v="физлица"/>
    <x v="0"/>
    <x v="4"/>
    <n v="55.667999999999999"/>
    <n v="3000"/>
    <n v="167004"/>
    <n v="55.667999999999999"/>
    <n v="3000"/>
    <n v="162960"/>
    <n v="162960"/>
    <n v="0"/>
  </r>
  <r>
    <s v="Профит"/>
    <x v="0"/>
    <x v="4"/>
    <n v="93.16"/>
    <n v="8300"/>
    <n v="773228"/>
    <n v="90.06"/>
    <n v="8300"/>
    <n v="747498"/>
    <n v="747498"/>
    <n v="0"/>
  </r>
  <r>
    <s v="Агрочерноземье"/>
    <x v="1"/>
    <x v="3"/>
    <n v="218"/>
    <n v="7300"/>
    <n v="1591400"/>
    <n v="216.88"/>
    <n v="7300"/>
    <n v="1583224"/>
    <n v="1583224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">
  <r>
    <s v="Новооскольский элеватор"/>
    <x v="0"/>
    <x v="0"/>
    <n v="600"/>
    <n v="7500"/>
    <n v="4500000"/>
    <n v="612.38"/>
    <n v="7500"/>
    <n v="4592850"/>
    <n v="4592850"/>
    <n v="0"/>
  </r>
  <r>
    <s v="Фасад-Комплект"/>
    <x v="0"/>
    <x v="0"/>
    <n v="630"/>
    <n v="7500"/>
    <n v="4725000"/>
    <n v="643.78"/>
    <n v="7500"/>
    <n v="4828350"/>
    <n v="4828350"/>
    <n v="0"/>
  </r>
  <r>
    <s v="Агропродукт"/>
    <x v="0"/>
    <x v="1"/>
    <n v="350"/>
    <n v="8300"/>
    <n v="2905000"/>
    <n v="350"/>
    <n v="8300"/>
    <n v="2905000"/>
    <n v="2905000"/>
    <n v="0"/>
  </r>
  <r>
    <s v="Дон-маркет"/>
    <x v="0"/>
    <x v="1"/>
    <n v="2000"/>
    <n v="8300"/>
    <n v="16600000"/>
    <n v="2000"/>
    <n v="8300"/>
    <n v="16600000"/>
    <n v="16600000"/>
    <n v="0"/>
  </r>
  <r>
    <s v="Агропродукт"/>
    <x v="0"/>
    <x v="1"/>
    <n v="115"/>
    <n v="8300"/>
    <n v="954500"/>
    <n v="115"/>
    <n v="8300"/>
    <n v="954500"/>
    <n v="954500"/>
    <n v="0"/>
  </r>
  <r>
    <s v="Агроинвест"/>
    <x v="1"/>
    <x v="2"/>
    <n v="500"/>
    <n v="9000"/>
    <n v="4500000"/>
    <n v="335.9"/>
    <n v="9000"/>
    <n v="3023100"/>
    <n v="3023100"/>
    <n v="0"/>
  </r>
  <r>
    <s v="Ворон-Ойл"/>
    <x v="1"/>
    <x v="2"/>
    <n v="600"/>
    <n v="9300"/>
    <n v="5580000"/>
    <n v="600"/>
    <n v="9300"/>
    <n v="5580000"/>
    <n v="5580000"/>
    <n v="0"/>
  </r>
  <r>
    <s v="физлица"/>
    <x v="1"/>
    <x v="3"/>
    <n v="12.95"/>
    <m/>
    <n v="95787.24"/>
    <n v="12.95"/>
    <m/>
    <n v="95878.24"/>
    <n v="95878.24"/>
    <n v="0"/>
  </r>
  <r>
    <s v="физлица"/>
    <x v="1"/>
    <x v="2"/>
    <n v="0.11600000000000001"/>
    <n v="5000"/>
    <n v="580"/>
    <n v="0.11600000000000001"/>
    <n v="5000"/>
    <n v="580"/>
    <n v="580"/>
    <n v="0"/>
  </r>
  <r>
    <s v="физлица"/>
    <x v="0"/>
    <x v="0"/>
    <n v="8.6999999999999993"/>
    <n v="5000"/>
    <n v="43500"/>
    <n v="8.6999999999999993"/>
    <n v="5000"/>
    <n v="43500"/>
    <n v="43500"/>
    <n v="0"/>
  </r>
  <r>
    <s v="МОЛТ ХАУЗ"/>
    <x v="1"/>
    <x v="2"/>
    <n v="800"/>
    <n v="8800"/>
    <n v="7040000"/>
    <n v="528.52"/>
    <n v="8800"/>
    <n v="4650976"/>
    <n v="4650976"/>
    <n v="0"/>
  </r>
  <r>
    <s v="Сан Агро"/>
    <x v="0"/>
    <x v="4"/>
    <n v="501"/>
    <n v="6000"/>
    <n v="3006000"/>
    <n v="478.9"/>
    <n v="6000"/>
    <n v="2873400"/>
    <n v="2873400"/>
    <n v="0"/>
  </r>
  <r>
    <s v="Подворье"/>
    <x v="0"/>
    <x v="4"/>
    <n v="34.46"/>
    <n v="4000"/>
    <n v="137840"/>
    <n v="34.46"/>
    <n v="4000"/>
    <n v="137840"/>
    <n v="13784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СводнаяТаблица2" cacheId="0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A54:E64" firstHeaderRow="1" firstDataRow="2" firstDataCol="1"/>
  <pivotFields count="11">
    <pivotField showAll="0"/>
    <pivotField axis="axisRow" showAll="0">
      <items count="3">
        <item x="0"/>
        <item x="1"/>
        <item t="default"/>
      </items>
    </pivotField>
    <pivotField axis="axisRow" showAll="0">
      <items count="6">
        <item x="1"/>
        <item x="0"/>
        <item x="2"/>
        <item x="3"/>
        <item x="4"/>
        <item t="default"/>
      </items>
    </pivotField>
    <pivotField dataField="1" showAll="0"/>
    <pivotField showAll="0"/>
    <pivotField dataField="1" showAll="0"/>
    <pivotField dataField="1" showAll="0"/>
    <pivotField showAll="0"/>
    <pivotField dataField="1" showAll="0"/>
    <pivotField showAll="0"/>
    <pivotField showAll="0"/>
  </pivotFields>
  <rowFields count="2">
    <field x="1"/>
    <field x="2"/>
  </rowFields>
  <rowItems count="9">
    <i>
      <x/>
    </i>
    <i r="1">
      <x v="1"/>
    </i>
    <i r="1">
      <x v="2"/>
    </i>
    <i r="1">
      <x v="4"/>
    </i>
    <i>
      <x v="1"/>
    </i>
    <i r="1">
      <x/>
    </i>
    <i r="1">
      <x v="2"/>
    </i>
    <i r="1"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Сумма по полю Кол-во по договору" fld="3" baseField="0" baseItem="0"/>
    <dataField name="Сумма по договору" fld="5" baseField="0" baseItem="0"/>
    <dataField name="Сумма по полю Отгружено факт" fld="6" baseField="0" baseItem="0"/>
    <dataField name="Сумма по полю Сумма2" fld="8" baseField="0" baseItem="0"/>
  </dataFields>
  <formats count="3">
    <format dxfId="2">
      <pivotArea type="all" dataOnly="0" outline="0" fieldPosition="0"/>
    </format>
    <format dxfId="1">
      <pivotArea field="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СводнаяТаблица1" cacheId="1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A20:E29" firstHeaderRow="1" firstDataRow="2" firstDataCol="1"/>
  <pivotFields count="11">
    <pivotField showAll="0"/>
    <pivotField axis="axisRow" showAll="0">
      <items count="3">
        <item x="0"/>
        <item x="1"/>
        <item t="default"/>
      </items>
    </pivotField>
    <pivotField axis="axisRow" showAll="0">
      <items count="6">
        <item x="2"/>
        <item x="1"/>
        <item x="0"/>
        <item x="3"/>
        <item x="4"/>
        <item t="default"/>
      </items>
    </pivotField>
    <pivotField dataField="1" showAll="0"/>
    <pivotField showAll="0"/>
    <pivotField dataField="1" showAll="0"/>
    <pivotField dataField="1" showAll="0"/>
    <pivotField showAll="0"/>
    <pivotField dataField="1" showAll="0"/>
    <pivotField showAll="0"/>
    <pivotField showAll="0"/>
  </pivotFields>
  <rowFields count="2">
    <field x="1"/>
    <field x="2"/>
  </rowFields>
  <rowItems count="8">
    <i>
      <x/>
    </i>
    <i r="1">
      <x v="1"/>
    </i>
    <i r="1">
      <x v="2"/>
    </i>
    <i r="1">
      <x v="4"/>
    </i>
    <i>
      <x v="1"/>
    </i>
    <i r="1">
      <x/>
    </i>
    <i r="1"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Сумма по полю Кол-во по договору" fld="3" baseField="0" baseItem="0"/>
    <dataField name="Сумма по договору" fld="5" baseField="0" baseItem="0"/>
    <dataField name="Сумма по полю Отгружено факт" fld="6" baseField="0" baseItem="0"/>
    <dataField name="Сумма по полю Сумма2" fld="8" baseField="0" baseItem="0"/>
  </dataFields>
  <formats count="7">
    <format dxfId="9">
      <pivotArea type="all" dataOnly="0" outline="0" fieldPosition="0"/>
    </format>
    <format dxfId="8">
      <pivotArea field="1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6">
      <pivotArea collapsedLevelsAreSubtotals="1" fieldPosition="0">
        <references count="1">
          <reference field="1" count="1">
            <x v="0"/>
          </reference>
        </references>
      </pivotArea>
    </format>
    <format dxfId="5">
      <pivotArea collapsedLevelsAreSubtotals="1" fieldPosition="0">
        <references count="2">
          <reference field="1" count="1" selected="0">
            <x v="0"/>
          </reference>
          <reference field="2" count="4">
            <x v="1"/>
            <x v="2"/>
            <x v="3"/>
            <x v="4"/>
          </reference>
        </references>
      </pivotArea>
    </format>
    <format dxfId="4">
      <pivotArea collapsedLevelsAreSubtotals="1" fieldPosition="0">
        <references count="1">
          <reference field="1" count="1">
            <x v="1"/>
          </reference>
        </references>
      </pivotArea>
    </format>
    <format dxfId="3">
      <pivotArea collapsedLevelsAreSubtotals="1" fieldPosition="0">
        <references count="2">
          <reference field="1" count="1" selected="0">
            <x v="1"/>
          </reference>
          <reference field="2" count="2">
            <x v="0"/>
            <x v="3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Таблица1" displayName="Таблица1" ref="A1:K7" totalsRowShown="0">
  <autoFilter ref="A1:K7"/>
  <tableColumns count="11">
    <tableColumn id="1" name="Организация"/>
    <tableColumn id="2" name="Продукция"/>
    <tableColumn id="3" name="Класс"/>
    <tableColumn id="4" name="Кол-во по договору"/>
    <tableColumn id="5" name="Цена"/>
    <tableColumn id="6" name="Сумма"/>
    <tableColumn id="7" name="Отгружено факт"/>
    <tableColumn id="8" name="цена2"/>
    <tableColumn id="9" name="Сумма2"/>
    <tableColumn id="10" name="Оплачено"/>
    <tableColumn id="11" name="Остаток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1:K2" totalsRowShown="0">
  <autoFilter ref="A1:K2"/>
  <tableColumns count="11">
    <tableColumn id="1" name="Организация"/>
    <tableColumn id="2" name="Продукция"/>
    <tableColumn id="3" name="Класс"/>
    <tableColumn id="4" name="Кол-во по договору"/>
    <tableColumn id="5" name="Цена"/>
    <tableColumn id="6" name="Сумма"/>
    <tableColumn id="7" name="Отгружено факт"/>
    <tableColumn id="8" name="цена2"/>
    <tableColumn id="9" name="Сумма2"/>
    <tableColumn id="10" name="Оплачено"/>
    <tableColumn id="11" name="Остаток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A1:K3" totalsRowShown="0">
  <autoFilter ref="A1:K3"/>
  <tableColumns count="11">
    <tableColumn id="1" name="Организация"/>
    <tableColumn id="2" name="Продукция"/>
    <tableColumn id="3" name="Класс"/>
    <tableColumn id="4" name="Кол-во по договору"/>
    <tableColumn id="5" name="Цена"/>
    <tableColumn id="6" name="Сумма"/>
    <tableColumn id="7" name="Отгружено факт"/>
    <tableColumn id="8" name="цена2"/>
    <tableColumn id="9" name="Сумма2"/>
    <tableColumn id="10" name="Оплачено"/>
    <tableColumn id="11" name="Остаток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29"/>
  <sheetViews>
    <sheetView tabSelected="1" view="pageBreakPreview" zoomScaleNormal="85" zoomScaleSheetLayoutView="100" workbookViewId="0">
      <pane xSplit="1" topLeftCell="L1" activePane="topRight" state="frozen"/>
      <selection pane="topRight" activeCell="G7" sqref="G7"/>
    </sheetView>
  </sheetViews>
  <sheetFormatPr defaultRowHeight="15" outlineLevelRow="1" outlineLevelCol="1"/>
  <cols>
    <col min="1" max="1" width="16.28515625" style="1" customWidth="1"/>
    <col min="2" max="2" width="9.7109375" style="1" customWidth="1"/>
    <col min="3" max="3" width="11.140625" style="2" customWidth="1"/>
    <col min="4" max="4" width="16" style="1" customWidth="1"/>
    <col min="5" max="5" width="8.5703125" style="1" customWidth="1"/>
    <col min="6" max="7" width="11.28515625" style="1" bestFit="1" customWidth="1"/>
    <col min="8" max="8" width="12.7109375" style="1" bestFit="1" customWidth="1"/>
    <col min="9" max="9" width="8.85546875" style="1" bestFit="1" customWidth="1"/>
    <col min="10" max="10" width="11.28515625" style="1" bestFit="1" customWidth="1"/>
    <col min="11" max="11" width="9.140625" style="1" bestFit="1" customWidth="1"/>
    <col min="12" max="12" width="9.5703125" style="1" bestFit="1" customWidth="1"/>
    <col min="13" max="13" width="10.5703125" style="1" customWidth="1" outlineLevel="1"/>
    <col min="14" max="14" width="12.5703125" style="1" bestFit="1" customWidth="1" outlineLevel="1"/>
    <col min="15" max="16" width="9.42578125" style="1" customWidth="1" outlineLevel="1"/>
    <col min="17" max="17" width="12.42578125" style="1" customWidth="1" outlineLevel="1"/>
    <col min="18" max="18" width="10.5703125" style="1" customWidth="1"/>
    <col min="19" max="19" width="10" style="1" customWidth="1"/>
    <col min="20" max="20" width="11.140625" style="1" customWidth="1"/>
    <col min="21" max="21" width="9.85546875" style="1" customWidth="1"/>
    <col min="22" max="24" width="10.42578125" style="1" customWidth="1"/>
    <col min="25" max="25" width="11.7109375" style="1" customWidth="1"/>
    <col min="28" max="16384" width="9.140625" style="1"/>
  </cols>
  <sheetData>
    <row r="1" spans="1:25" ht="42.75" customHeight="1" thickBot="1">
      <c r="A1" s="144" t="s">
        <v>87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5"/>
    </row>
    <row r="2" spans="1:25" ht="42.75" customHeight="1" thickBot="1">
      <c r="A2" s="140" t="s">
        <v>1</v>
      </c>
      <c r="B2" s="142" t="s">
        <v>2</v>
      </c>
      <c r="C2" s="142" t="s">
        <v>3</v>
      </c>
      <c r="D2" s="142" t="s">
        <v>4</v>
      </c>
      <c r="E2" s="150" t="s">
        <v>5</v>
      </c>
      <c r="F2" s="151"/>
      <c r="G2" s="142" t="s">
        <v>21</v>
      </c>
      <c r="H2" s="140" t="s">
        <v>6</v>
      </c>
      <c r="I2" s="155" t="s">
        <v>26</v>
      </c>
      <c r="J2" s="156"/>
      <c r="K2" s="156"/>
      <c r="L2" s="157"/>
      <c r="M2" s="152" t="s">
        <v>73</v>
      </c>
      <c r="N2" s="153"/>
      <c r="O2" s="153"/>
      <c r="P2" s="153"/>
      <c r="Q2" s="154"/>
      <c r="R2" s="146" t="s">
        <v>32</v>
      </c>
      <c r="S2" s="147"/>
      <c r="T2" s="147"/>
      <c r="U2" s="147"/>
      <c r="V2" s="147"/>
      <c r="W2" s="148"/>
      <c r="X2" s="148"/>
      <c r="Y2" s="149"/>
    </row>
    <row r="3" spans="1:25" ht="48.75" thickBot="1">
      <c r="A3" s="141"/>
      <c r="B3" s="143"/>
      <c r="C3" s="143"/>
      <c r="D3" s="143"/>
      <c r="E3" s="3" t="s">
        <v>7</v>
      </c>
      <c r="F3" s="4" t="s">
        <v>8</v>
      </c>
      <c r="G3" s="143"/>
      <c r="H3" s="141"/>
      <c r="I3" s="56" t="s">
        <v>22</v>
      </c>
      <c r="J3" s="5" t="s">
        <v>9</v>
      </c>
      <c r="K3" s="5" t="s">
        <v>10</v>
      </c>
      <c r="L3" s="6" t="s">
        <v>23</v>
      </c>
      <c r="M3" s="57" t="s">
        <v>24</v>
      </c>
      <c r="N3" s="58" t="s">
        <v>27</v>
      </c>
      <c r="O3" s="59" t="s">
        <v>9</v>
      </c>
      <c r="P3" s="59" t="s">
        <v>10</v>
      </c>
      <c r="Q3" s="59" t="s">
        <v>21</v>
      </c>
      <c r="R3" s="55" t="s">
        <v>9</v>
      </c>
      <c r="S3" s="7" t="s">
        <v>10</v>
      </c>
      <c r="T3" s="7" t="s">
        <v>21</v>
      </c>
      <c r="U3" s="7" t="s">
        <v>11</v>
      </c>
      <c r="V3" s="7" t="s">
        <v>12</v>
      </c>
      <c r="W3" s="101" t="s">
        <v>74</v>
      </c>
      <c r="X3" s="101" t="s">
        <v>72</v>
      </c>
      <c r="Y3" s="8" t="s">
        <v>13</v>
      </c>
    </row>
    <row r="4" spans="1:25" s="20" customFormat="1" ht="22.5" customHeight="1" thickBot="1">
      <c r="A4" s="9" t="s">
        <v>14</v>
      </c>
      <c r="B4" s="10">
        <v>735</v>
      </c>
      <c r="C4" s="11">
        <v>3333.76</v>
      </c>
      <c r="D4" s="12">
        <f t="shared" ref="D4:D9" si="0">C4/B4*10</f>
        <v>45.357278911564627</v>
      </c>
      <c r="E4" s="12">
        <v>65.92</v>
      </c>
      <c r="F4" s="13">
        <f t="shared" ref="F4:F10" si="1">E4/C4*100</f>
        <v>1.9773468995968515</v>
      </c>
      <c r="G4" s="12">
        <v>55.56</v>
      </c>
      <c r="H4" s="15">
        <f t="shared" ref="H4:H7" si="2">C4-E4-G4</f>
        <v>3212.28</v>
      </c>
      <c r="I4" s="14">
        <v>117.29</v>
      </c>
      <c r="J4" s="12"/>
      <c r="K4" s="12">
        <v>2465</v>
      </c>
      <c r="L4" s="16">
        <f>H4-I4-J4-K4</f>
        <v>629.99000000000024</v>
      </c>
      <c r="M4" s="18">
        <v>34.36</v>
      </c>
      <c r="N4" s="10">
        <v>629.99</v>
      </c>
      <c r="O4" s="17"/>
      <c r="P4" s="17">
        <v>2465</v>
      </c>
      <c r="Q4" s="17">
        <v>40.116</v>
      </c>
      <c r="R4" s="19">
        <f>J4-O4</f>
        <v>0</v>
      </c>
      <c r="S4" s="12">
        <f>K4-P4</f>
        <v>0</v>
      </c>
      <c r="T4" s="114">
        <f>G4-Q4</f>
        <v>15.444000000000003</v>
      </c>
      <c r="U4" s="114">
        <f>I4-M4</f>
        <v>82.93</v>
      </c>
      <c r="V4" s="114">
        <f>L4-N4</f>
        <v>0</v>
      </c>
      <c r="W4" s="115"/>
      <c r="X4" s="115"/>
      <c r="Y4" s="16">
        <f>SUM(R4:V4)</f>
        <v>98.374000000000009</v>
      </c>
    </row>
    <row r="5" spans="1:25" ht="16.5" thickBot="1">
      <c r="A5" s="22" t="s">
        <v>16</v>
      </c>
      <c r="B5" s="10">
        <v>559</v>
      </c>
      <c r="C5" s="11">
        <v>1192.96</v>
      </c>
      <c r="D5" s="12">
        <f t="shared" si="0"/>
        <v>21.340966010733453</v>
      </c>
      <c r="E5" s="11">
        <v>16.47</v>
      </c>
      <c r="F5" s="13">
        <f t="shared" si="1"/>
        <v>1.3805995171673819</v>
      </c>
      <c r="G5" s="11">
        <v>19.86</v>
      </c>
      <c r="H5" s="15">
        <f t="shared" si="2"/>
        <v>1156.6300000000001</v>
      </c>
      <c r="I5" s="18"/>
      <c r="J5" s="11"/>
      <c r="K5" s="11"/>
      <c r="L5" s="16">
        <f t="shared" ref="L5:L7" si="3">H5-I5-J5-K5</f>
        <v>1156.6300000000001</v>
      </c>
      <c r="M5" s="24"/>
      <c r="N5" s="113">
        <v>1156.6300000000001</v>
      </c>
      <c r="O5" s="23"/>
      <c r="P5" s="23"/>
      <c r="Q5" s="17">
        <v>19.86</v>
      </c>
      <c r="R5" s="19">
        <f t="shared" ref="R5:R10" si="4">J5-O5</f>
        <v>0</v>
      </c>
      <c r="S5" s="12">
        <f t="shared" ref="S5:S10" si="5">K5-P5</f>
        <v>0</v>
      </c>
      <c r="T5" s="114">
        <f>G5-Q5</f>
        <v>0</v>
      </c>
      <c r="U5" s="114">
        <f t="shared" ref="U5:U10" si="6">I5-M5</f>
        <v>0</v>
      </c>
      <c r="V5" s="114">
        <f>L5-N5</f>
        <v>0</v>
      </c>
      <c r="W5" s="115"/>
      <c r="X5" s="115"/>
      <c r="Y5" s="16">
        <f t="shared" ref="Y5:Y10" si="7">SUM(R5:V5)</f>
        <v>0</v>
      </c>
    </row>
    <row r="6" spans="1:25" s="28" customFormat="1" ht="16.5" thickBot="1">
      <c r="A6" s="26" t="s">
        <v>17</v>
      </c>
      <c r="B6" s="10">
        <v>740</v>
      </c>
      <c r="C6" s="11">
        <v>1936.64</v>
      </c>
      <c r="D6" s="12">
        <f t="shared" si="0"/>
        <v>26.170810810810814</v>
      </c>
      <c r="E6" s="11">
        <v>121.42</v>
      </c>
      <c r="F6" s="13">
        <f t="shared" si="1"/>
        <v>6.2696216126900195</v>
      </c>
      <c r="G6" s="11">
        <v>56.84</v>
      </c>
      <c r="H6" s="15">
        <f t="shared" si="2"/>
        <v>1758.38</v>
      </c>
      <c r="I6" s="18"/>
      <c r="J6" s="11">
        <v>1758.38</v>
      </c>
      <c r="K6" s="11"/>
      <c r="L6" s="16">
        <f t="shared" si="3"/>
        <v>0</v>
      </c>
      <c r="M6" s="24"/>
      <c r="N6" s="25"/>
      <c r="O6" s="62">
        <v>1758.38</v>
      </c>
      <c r="P6" s="23"/>
      <c r="Q6" s="17">
        <v>56.84</v>
      </c>
      <c r="R6" s="19">
        <f>J6-O6</f>
        <v>0</v>
      </c>
      <c r="S6" s="12">
        <f t="shared" si="5"/>
        <v>0</v>
      </c>
      <c r="T6" s="12">
        <f t="shared" ref="T6:T10" si="8">G6-Q6</f>
        <v>0</v>
      </c>
      <c r="U6" s="12">
        <f t="shared" si="6"/>
        <v>0</v>
      </c>
      <c r="V6" s="12">
        <f>L6</f>
        <v>0</v>
      </c>
      <c r="W6" s="14"/>
      <c r="X6" s="14"/>
      <c r="Y6" s="122">
        <f t="shared" si="7"/>
        <v>0</v>
      </c>
    </row>
    <row r="7" spans="1:25" s="28" customFormat="1" ht="16.5" thickBot="1">
      <c r="A7" s="26" t="s">
        <v>18</v>
      </c>
      <c r="B7" s="29">
        <v>487</v>
      </c>
      <c r="C7" s="33">
        <v>671.76</v>
      </c>
      <c r="D7" s="12">
        <f t="shared" si="0"/>
        <v>13.793839835728951</v>
      </c>
      <c r="E7" s="34">
        <v>21.84</v>
      </c>
      <c r="F7" s="13">
        <f t="shared" si="1"/>
        <v>3.2511611289746343</v>
      </c>
      <c r="G7" s="27">
        <v>5.98</v>
      </c>
      <c r="H7" s="15">
        <f t="shared" si="2"/>
        <v>643.93999999999994</v>
      </c>
      <c r="I7" s="31">
        <v>123.44</v>
      </c>
      <c r="J7" s="13"/>
      <c r="K7" s="13"/>
      <c r="L7" s="16">
        <f t="shared" si="3"/>
        <v>520.5</v>
      </c>
      <c r="M7" s="31"/>
      <c r="N7" s="32"/>
      <c r="O7" s="30"/>
      <c r="P7" s="30"/>
      <c r="Q7" s="63"/>
      <c r="R7" s="19">
        <f t="shared" si="4"/>
        <v>0</v>
      </c>
      <c r="S7" s="12">
        <f t="shared" si="5"/>
        <v>0</v>
      </c>
      <c r="T7" s="12">
        <f t="shared" si="8"/>
        <v>5.98</v>
      </c>
      <c r="U7" s="12">
        <f t="shared" si="6"/>
        <v>123.44</v>
      </c>
      <c r="V7" s="12">
        <f>L7-N7</f>
        <v>520.5</v>
      </c>
      <c r="W7" s="14"/>
      <c r="X7" s="14"/>
      <c r="Y7" s="16">
        <f t="shared" si="7"/>
        <v>649.91999999999996</v>
      </c>
    </row>
    <row r="8" spans="1:25" s="43" customFormat="1" ht="16.5" thickBot="1">
      <c r="A8" s="35" t="s">
        <v>19</v>
      </c>
      <c r="B8" s="36">
        <v>584</v>
      </c>
      <c r="C8" s="50">
        <v>1823.7</v>
      </c>
      <c r="D8" s="12">
        <f t="shared" si="0"/>
        <v>31.227739726027398</v>
      </c>
      <c r="E8" s="38">
        <v>153.5</v>
      </c>
      <c r="F8" s="13">
        <f t="shared" si="1"/>
        <v>8.4169545429621095</v>
      </c>
      <c r="G8" s="37">
        <v>0</v>
      </c>
      <c r="H8" s="15">
        <f>C8-E8-G8</f>
        <v>1670.2</v>
      </c>
      <c r="I8" s="39"/>
      <c r="J8" s="40"/>
      <c r="K8" s="40"/>
      <c r="L8" s="16">
        <f>H8</f>
        <v>1670.2</v>
      </c>
      <c r="M8" s="39"/>
      <c r="N8" s="42">
        <v>1670.2</v>
      </c>
      <c r="O8" s="41"/>
      <c r="P8" s="41"/>
      <c r="Q8" s="41"/>
      <c r="R8" s="19">
        <f t="shared" si="4"/>
        <v>0</v>
      </c>
      <c r="S8" s="12">
        <f t="shared" si="5"/>
        <v>0</v>
      </c>
      <c r="T8" s="12">
        <f t="shared" si="8"/>
        <v>0</v>
      </c>
      <c r="U8" s="12">
        <f t="shared" si="6"/>
        <v>0</v>
      </c>
      <c r="V8" s="12">
        <f>L8-N8</f>
        <v>0</v>
      </c>
      <c r="W8" s="14"/>
      <c r="X8" s="14"/>
      <c r="Y8" s="16">
        <f t="shared" si="7"/>
        <v>0</v>
      </c>
    </row>
    <row r="9" spans="1:25" s="28" customFormat="1" ht="16.5" thickBot="1">
      <c r="A9" s="35" t="s">
        <v>20</v>
      </c>
      <c r="B9" s="36">
        <v>702</v>
      </c>
      <c r="C9" s="50">
        <v>4878.1000000000004</v>
      </c>
      <c r="D9" s="12">
        <f t="shared" si="0"/>
        <v>69.488603988603998</v>
      </c>
      <c r="E9" s="38">
        <v>525</v>
      </c>
      <c r="F9" s="13">
        <f t="shared" si="1"/>
        <v>10.762386994936552</v>
      </c>
      <c r="G9" s="37"/>
      <c r="H9" s="15">
        <f>C9-E9-G9</f>
        <v>4353.1000000000004</v>
      </c>
      <c r="I9" s="45"/>
      <c r="J9" s="40"/>
      <c r="K9" s="40"/>
      <c r="L9" s="16">
        <f>H9</f>
        <v>4353.1000000000004</v>
      </c>
      <c r="M9" s="44"/>
      <c r="N9" s="117">
        <v>2261.64</v>
      </c>
      <c r="O9" s="41"/>
      <c r="P9" s="41"/>
      <c r="Q9" s="41"/>
      <c r="R9" s="19">
        <f t="shared" si="4"/>
        <v>0</v>
      </c>
      <c r="S9" s="12">
        <f t="shared" si="5"/>
        <v>0</v>
      </c>
      <c r="T9" s="12">
        <f t="shared" si="8"/>
        <v>0</v>
      </c>
      <c r="U9" s="12">
        <f t="shared" si="6"/>
        <v>0</v>
      </c>
      <c r="V9" s="12">
        <f>L9-N9</f>
        <v>2091.4600000000005</v>
      </c>
      <c r="W9" s="14"/>
      <c r="X9" s="14"/>
      <c r="Y9" s="16">
        <f t="shared" si="7"/>
        <v>2091.4600000000005</v>
      </c>
    </row>
    <row r="10" spans="1:25" s="28" customFormat="1" ht="15.75" outlineLevel="1">
      <c r="A10" s="60" t="s">
        <v>28</v>
      </c>
      <c r="B10" s="61">
        <v>430</v>
      </c>
      <c r="C10" s="61">
        <v>20697.45</v>
      </c>
      <c r="D10" s="12"/>
      <c r="E10" s="60"/>
      <c r="F10" s="13">
        <f t="shared" si="1"/>
        <v>0</v>
      </c>
      <c r="G10" s="60"/>
      <c r="H10" s="15">
        <v>18880.060000000001</v>
      </c>
      <c r="I10" s="60"/>
      <c r="J10" s="60"/>
      <c r="K10" s="60"/>
      <c r="L10" s="16">
        <f>H10</f>
        <v>18880.060000000001</v>
      </c>
      <c r="M10" s="60"/>
      <c r="N10" s="107">
        <v>18880.060000000001</v>
      </c>
      <c r="O10" s="60"/>
      <c r="P10" s="60"/>
      <c r="Q10" s="60"/>
      <c r="R10" s="19">
        <f t="shared" si="4"/>
        <v>0</v>
      </c>
      <c r="S10" s="12">
        <f t="shared" si="5"/>
        <v>0</v>
      </c>
      <c r="T10" s="12">
        <f t="shared" si="8"/>
        <v>0</v>
      </c>
      <c r="U10" s="12">
        <f t="shared" si="6"/>
        <v>0</v>
      </c>
      <c r="V10" s="12">
        <f>L10-N10</f>
        <v>0</v>
      </c>
      <c r="W10" s="14"/>
      <c r="X10" s="14"/>
      <c r="Y10" s="16">
        <f t="shared" si="7"/>
        <v>0</v>
      </c>
    </row>
    <row r="11" spans="1:25">
      <c r="A11" s="46"/>
    </row>
    <row r="12" spans="1:25">
      <c r="A12" s="46"/>
    </row>
    <row r="13" spans="1:25">
      <c r="A13" s="46" t="s">
        <v>0</v>
      </c>
      <c r="B13" s="48">
        <f ca="1">TODAY()</f>
        <v>42853</v>
      </c>
      <c r="C13" s="47"/>
    </row>
    <row r="15" spans="1:25">
      <c r="A15" s="121" t="s">
        <v>83</v>
      </c>
    </row>
    <row r="17" spans="1:15" ht="18.75">
      <c r="A17" s="98" t="s">
        <v>25</v>
      </c>
    </row>
    <row r="18" spans="1:15" ht="15.75" thickBot="1"/>
    <row r="19" spans="1:15" ht="24.75" thickBot="1">
      <c r="A19" s="79" t="s">
        <v>1</v>
      </c>
      <c r="B19" s="94" t="s">
        <v>27</v>
      </c>
      <c r="C19" s="95" t="s">
        <v>33</v>
      </c>
      <c r="D19" s="96" t="s">
        <v>34</v>
      </c>
      <c r="E19" s="94" t="s">
        <v>9</v>
      </c>
      <c r="F19" s="95" t="s">
        <v>33</v>
      </c>
      <c r="G19" s="96" t="s">
        <v>34</v>
      </c>
      <c r="H19" s="94" t="s">
        <v>10</v>
      </c>
      <c r="I19" s="95" t="s">
        <v>33</v>
      </c>
      <c r="J19" s="96" t="s">
        <v>34</v>
      </c>
      <c r="K19" s="94" t="s">
        <v>21</v>
      </c>
      <c r="L19" s="95" t="s">
        <v>33</v>
      </c>
      <c r="M19" s="96" t="s">
        <v>34</v>
      </c>
      <c r="N19" s="97" t="s">
        <v>13</v>
      </c>
    </row>
    <row r="20" spans="1:15" ht="16.5" thickBot="1">
      <c r="A20" s="79" t="s">
        <v>14</v>
      </c>
      <c r="B20" s="89">
        <v>630</v>
      </c>
      <c r="C20" s="90">
        <v>7500</v>
      </c>
      <c r="D20" s="91">
        <f>B20*C20</f>
        <v>4725000</v>
      </c>
      <c r="E20" s="89">
        <f>O4</f>
        <v>0</v>
      </c>
      <c r="F20" s="90"/>
      <c r="G20" s="91"/>
      <c r="H20" s="89">
        <f>P4</f>
        <v>2465</v>
      </c>
      <c r="I20" s="90">
        <f>J20/H20</f>
        <v>8328.3947261663288</v>
      </c>
      <c r="J20" s="92">
        <v>20529493</v>
      </c>
      <c r="K20" s="89">
        <f>Q4</f>
        <v>40.116</v>
      </c>
      <c r="L20" s="90">
        <v>4000</v>
      </c>
      <c r="M20" s="92">
        <v>226638</v>
      </c>
      <c r="N20" s="93">
        <f>D20+G20+J20+M20</f>
        <v>25481131</v>
      </c>
    </row>
    <row r="21" spans="1:15" ht="16.5" thickBot="1">
      <c r="A21" s="80" t="s">
        <v>16</v>
      </c>
      <c r="B21" s="83">
        <f>N5</f>
        <v>1156.6300000000001</v>
      </c>
      <c r="C21" s="71">
        <f>D21/B21</f>
        <v>6663.6910680165647</v>
      </c>
      <c r="D21" s="84">
        <v>7707425</v>
      </c>
      <c r="E21" s="83">
        <f>O5</f>
        <v>0</v>
      </c>
      <c r="F21" s="71"/>
      <c r="G21" s="84"/>
      <c r="H21" s="83">
        <f>P5</f>
        <v>0</v>
      </c>
      <c r="I21" s="71"/>
      <c r="J21" s="87"/>
      <c r="K21" s="83">
        <f>Q5</f>
        <v>19.86</v>
      </c>
      <c r="L21" s="71">
        <v>4000</v>
      </c>
      <c r="M21" s="92">
        <f>K21*L21</f>
        <v>79440</v>
      </c>
      <c r="N21" s="88">
        <f t="shared" ref="N21:N26" si="9">D21+G21+J21+M21</f>
        <v>7786865</v>
      </c>
    </row>
    <row r="22" spans="1:15" ht="16.5" thickBot="1">
      <c r="A22" s="21" t="s">
        <v>17</v>
      </c>
      <c r="B22" s="83">
        <f>N6</f>
        <v>0</v>
      </c>
      <c r="C22" s="71"/>
      <c r="D22" s="84"/>
      <c r="E22" s="83">
        <f>O6</f>
        <v>1758.38</v>
      </c>
      <c r="F22" s="71">
        <f>G22/E22</f>
        <v>8912.4435616874616</v>
      </c>
      <c r="G22" s="84">
        <v>15671462.51</v>
      </c>
      <c r="H22" s="83">
        <f>P6</f>
        <v>0</v>
      </c>
      <c r="I22" s="71"/>
      <c r="J22" s="87"/>
      <c r="K22" s="83">
        <f>Q6</f>
        <v>56.84</v>
      </c>
      <c r="L22" s="71">
        <v>7380</v>
      </c>
      <c r="M22" s="87">
        <v>259029.51</v>
      </c>
      <c r="N22" s="88">
        <f t="shared" si="9"/>
        <v>15930492.02</v>
      </c>
      <c r="O22" s="105"/>
    </row>
    <row r="23" spans="1:15" ht="16.5" thickBot="1">
      <c r="A23" s="21" t="s">
        <v>18</v>
      </c>
      <c r="B23" s="83">
        <f>N7</f>
        <v>0</v>
      </c>
      <c r="C23" s="71"/>
      <c r="D23" s="84"/>
      <c r="E23" s="83">
        <f>O7</f>
        <v>0</v>
      </c>
      <c r="F23" s="71"/>
      <c r="G23" s="84"/>
      <c r="H23" s="83">
        <f>P7</f>
        <v>0</v>
      </c>
      <c r="I23" s="71"/>
      <c r="J23" s="87"/>
      <c r="K23" s="83">
        <f>Q7</f>
        <v>0</v>
      </c>
      <c r="L23" s="71"/>
      <c r="M23" s="87"/>
      <c r="N23" s="88">
        <f t="shared" si="9"/>
        <v>0</v>
      </c>
    </row>
    <row r="24" spans="1:15" ht="16.5" thickBot="1">
      <c r="A24" s="81" t="s">
        <v>19</v>
      </c>
      <c r="B24" s="83">
        <f>N8</f>
        <v>1670.2</v>
      </c>
      <c r="C24" s="71">
        <v>18182.310000000001</v>
      </c>
      <c r="D24" s="84">
        <v>30364460</v>
      </c>
      <c r="E24" s="83">
        <f>O8</f>
        <v>0</v>
      </c>
      <c r="F24" s="71"/>
      <c r="G24" s="84"/>
      <c r="H24" s="83">
        <f>P8</f>
        <v>0</v>
      </c>
      <c r="I24" s="71"/>
      <c r="J24" s="87"/>
      <c r="K24" s="83">
        <f>Q8</f>
        <v>0</v>
      </c>
      <c r="L24" s="71"/>
      <c r="M24" s="87"/>
      <c r="N24" s="88">
        <f t="shared" si="9"/>
        <v>30364460</v>
      </c>
    </row>
    <row r="25" spans="1:15" ht="16.5" thickBot="1">
      <c r="A25" s="81" t="s">
        <v>28</v>
      </c>
      <c r="B25" s="83">
        <f>N10</f>
        <v>18880.060000000001</v>
      </c>
      <c r="C25" s="71">
        <f>D25/B25</f>
        <v>2953.0278664368648</v>
      </c>
      <c r="D25" s="84">
        <v>55753343.299999997</v>
      </c>
      <c r="E25" s="83"/>
      <c r="F25" s="71"/>
      <c r="G25" s="84"/>
      <c r="H25" s="83"/>
      <c r="I25" s="71"/>
      <c r="J25" s="87"/>
      <c r="K25" s="83"/>
      <c r="L25" s="71"/>
      <c r="M25" s="87"/>
      <c r="N25" s="88">
        <f t="shared" si="9"/>
        <v>55753343.299999997</v>
      </c>
    </row>
    <row r="26" spans="1:15" ht="16.5" thickBot="1">
      <c r="A26" s="81" t="s">
        <v>79</v>
      </c>
      <c r="B26" s="83">
        <f t="shared" ref="B26" si="10">N9</f>
        <v>2261.64</v>
      </c>
      <c r="C26" s="71">
        <v>7500</v>
      </c>
      <c r="D26" s="84">
        <f>B26*C26</f>
        <v>16962300</v>
      </c>
      <c r="E26" s="83">
        <f t="shared" ref="E26" si="11">O9</f>
        <v>0</v>
      </c>
      <c r="F26" s="71"/>
      <c r="G26" s="84"/>
      <c r="H26" s="83">
        <f t="shared" ref="H26" si="12">P9</f>
        <v>0</v>
      </c>
      <c r="I26" s="71"/>
      <c r="J26" s="87"/>
      <c r="K26" s="83">
        <f t="shared" ref="K26" si="13">Q9</f>
        <v>0</v>
      </c>
      <c r="L26" s="71"/>
      <c r="M26" s="87"/>
      <c r="N26" s="88">
        <f t="shared" si="9"/>
        <v>16962300</v>
      </c>
    </row>
    <row r="27" spans="1:15" ht="15.75">
      <c r="N27" s="106">
        <f>SUM(N20:N26)</f>
        <v>152278591.31999999</v>
      </c>
    </row>
    <row r="28" spans="1:15">
      <c r="A28" s="1" t="s">
        <v>85</v>
      </c>
      <c r="B28" s="1">
        <v>2119.2800000000002</v>
      </c>
    </row>
    <row r="29" spans="1:15">
      <c r="A29" s="1" t="s">
        <v>86</v>
      </c>
      <c r="B29" s="1">
        <v>35.92</v>
      </c>
    </row>
  </sheetData>
  <mergeCells count="11">
    <mergeCell ref="A2:A3"/>
    <mergeCell ref="B2:B3"/>
    <mergeCell ref="C2:C3"/>
    <mergeCell ref="A1:Y1"/>
    <mergeCell ref="D2:D3"/>
    <mergeCell ref="R2:Y2"/>
    <mergeCell ref="E2:F2"/>
    <mergeCell ref="G2:G3"/>
    <mergeCell ref="M2:Q2"/>
    <mergeCell ref="H2:H3"/>
    <mergeCell ref="I2:L2"/>
  </mergeCells>
  <printOptions gridLines="1"/>
  <pageMargins left="0.31496062992125984" right="0.23622047244094491" top="0.2" bottom="0.2" header="0.31496062992125984" footer="0.31496062992125984"/>
  <pageSetup paperSize="9" scale="5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8"/>
  <sheetViews>
    <sheetView view="pageBreakPreview" zoomScaleNormal="85" zoomScaleSheetLayoutView="100" workbookViewId="0">
      <pane xSplit="1" ySplit="3" topLeftCell="O4" activePane="bottomRight" state="frozen"/>
      <selection activeCell="B1" sqref="B1"/>
      <selection pane="topRight" activeCell="D1" sqref="D1"/>
      <selection pane="bottomLeft" activeCell="B4" sqref="B4"/>
      <selection pane="bottomRight" activeCell="Q5" sqref="Q5"/>
    </sheetView>
  </sheetViews>
  <sheetFormatPr defaultRowHeight="15" outlineLevelRow="1" outlineLevelCol="1"/>
  <cols>
    <col min="1" max="1" width="20.85546875" style="1" customWidth="1"/>
    <col min="2" max="2" width="9.7109375" style="1" customWidth="1"/>
    <col min="3" max="3" width="13" style="2" customWidth="1"/>
    <col min="4" max="4" width="14.28515625" style="1" customWidth="1"/>
    <col min="5" max="5" width="12.140625" style="1" customWidth="1"/>
    <col min="6" max="6" width="10.28515625" style="1" customWidth="1"/>
    <col min="7" max="7" width="11.28515625" style="1" customWidth="1"/>
    <col min="8" max="8" width="9.7109375" style="1" bestFit="1" customWidth="1"/>
    <col min="9" max="9" width="8.7109375" style="1" customWidth="1"/>
    <col min="10" max="10" width="11.28515625" style="1" bestFit="1" customWidth="1"/>
    <col min="11" max="11" width="10" style="1" customWidth="1"/>
    <col min="12" max="12" width="10.5703125" style="1" customWidth="1"/>
    <col min="13" max="13" width="10.5703125" style="1" customWidth="1" outlineLevel="1"/>
    <col min="14" max="14" width="14.28515625" style="1" customWidth="1" outlineLevel="1"/>
    <col min="15" max="15" width="12.85546875" style="1" customWidth="1" outlineLevel="1"/>
    <col min="16" max="17" width="9.42578125" style="1" customWidth="1" outlineLevel="1"/>
    <col min="18" max="18" width="12.42578125" style="1" customWidth="1" outlineLevel="1"/>
    <col min="19" max="19" width="10.5703125" style="1" customWidth="1"/>
    <col min="20" max="20" width="10" style="1" customWidth="1"/>
    <col min="21" max="21" width="11.140625" style="1" customWidth="1"/>
    <col min="22" max="22" width="9.85546875" style="1" customWidth="1"/>
    <col min="23" max="25" width="10.42578125" style="1" customWidth="1"/>
    <col min="26" max="26" width="11.7109375" style="1" customWidth="1"/>
    <col min="29" max="16384" width="9.140625" style="1"/>
  </cols>
  <sheetData>
    <row r="1" spans="1:28" ht="42.75" customHeight="1" thickBot="1">
      <c r="A1" s="144" t="s">
        <v>88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58"/>
      <c r="N1" s="158"/>
      <c r="O1" s="158"/>
      <c r="P1" s="158"/>
      <c r="Q1" s="144"/>
      <c r="R1" s="144"/>
      <c r="S1" s="144"/>
      <c r="T1" s="144"/>
      <c r="U1" s="144"/>
      <c r="V1" s="144"/>
      <c r="W1" s="144"/>
      <c r="X1" s="144"/>
      <c r="Y1" s="144"/>
      <c r="Z1" s="145"/>
    </row>
    <row r="2" spans="1:28" s="54" customFormat="1" ht="42.75" customHeight="1" thickBot="1">
      <c r="A2" s="140" t="s">
        <v>1</v>
      </c>
      <c r="B2" s="142" t="s">
        <v>2</v>
      </c>
      <c r="C2" s="142" t="s">
        <v>3</v>
      </c>
      <c r="D2" s="142" t="s">
        <v>4</v>
      </c>
      <c r="E2" s="150" t="s">
        <v>5</v>
      </c>
      <c r="F2" s="151"/>
      <c r="G2" s="142" t="s">
        <v>21</v>
      </c>
      <c r="H2" s="140" t="s">
        <v>6</v>
      </c>
      <c r="I2" s="155" t="s">
        <v>26</v>
      </c>
      <c r="J2" s="156"/>
      <c r="K2" s="156"/>
      <c r="L2" s="157"/>
      <c r="M2" s="152" t="s">
        <v>73</v>
      </c>
      <c r="N2" s="153"/>
      <c r="O2" s="153"/>
      <c r="P2" s="153"/>
      <c r="Q2" s="153"/>
      <c r="R2" s="154"/>
      <c r="S2" s="146" t="s">
        <v>32</v>
      </c>
      <c r="T2" s="147"/>
      <c r="U2" s="147"/>
      <c r="V2" s="147"/>
      <c r="W2" s="147"/>
      <c r="X2" s="148"/>
      <c r="Y2" s="148"/>
      <c r="Z2" s="149"/>
      <c r="AA2" s="53"/>
      <c r="AB2" s="53"/>
    </row>
    <row r="3" spans="1:28" s="54" customFormat="1" ht="48.75" thickBot="1">
      <c r="A3" s="141"/>
      <c r="B3" s="143"/>
      <c r="C3" s="143"/>
      <c r="D3" s="143"/>
      <c r="E3" s="52" t="s">
        <v>7</v>
      </c>
      <c r="F3" s="6" t="s">
        <v>8</v>
      </c>
      <c r="G3" s="143"/>
      <c r="H3" s="141"/>
      <c r="I3" s="56" t="s">
        <v>22</v>
      </c>
      <c r="J3" s="5" t="s">
        <v>9</v>
      </c>
      <c r="K3" s="5" t="s">
        <v>10</v>
      </c>
      <c r="L3" s="126" t="s">
        <v>23</v>
      </c>
      <c r="M3" s="139" t="s">
        <v>24</v>
      </c>
      <c r="N3" s="139" t="s">
        <v>30</v>
      </c>
      <c r="O3" s="139" t="s">
        <v>27</v>
      </c>
      <c r="P3" s="139" t="s">
        <v>9</v>
      </c>
      <c r="Q3" s="127" t="s">
        <v>10</v>
      </c>
      <c r="R3" s="139" t="s">
        <v>21</v>
      </c>
      <c r="S3" s="55" t="s">
        <v>9</v>
      </c>
      <c r="T3" s="7" t="s">
        <v>10</v>
      </c>
      <c r="U3" s="7" t="s">
        <v>21</v>
      </c>
      <c r="V3" s="7" t="s">
        <v>11</v>
      </c>
      <c r="W3" s="7" t="s">
        <v>12</v>
      </c>
      <c r="X3" s="101" t="s">
        <v>74</v>
      </c>
      <c r="Y3" s="101" t="s">
        <v>72</v>
      </c>
      <c r="Z3" s="8" t="s">
        <v>13</v>
      </c>
      <c r="AA3" s="53"/>
      <c r="AB3" s="53"/>
    </row>
    <row r="4" spans="1:28" s="20" customFormat="1" ht="22.5" customHeight="1" thickBot="1">
      <c r="A4" s="64" t="s">
        <v>14</v>
      </c>
      <c r="B4" s="10">
        <v>1010</v>
      </c>
      <c r="C4" s="11">
        <v>3514.7</v>
      </c>
      <c r="D4" s="12">
        <f t="shared" ref="D4:D11" si="0">C4/B4*10</f>
        <v>34.7990099009901</v>
      </c>
      <c r="E4" s="12">
        <v>67.56</v>
      </c>
      <c r="F4" s="13">
        <f t="shared" ref="F4:F11" si="1">E4/C4*100</f>
        <v>1.9222124221128405</v>
      </c>
      <c r="G4" s="12">
        <v>100.16</v>
      </c>
      <c r="H4" s="15">
        <f t="shared" ref="H4:H9" si="2">C4-E4-G4</f>
        <v>3346.98</v>
      </c>
      <c r="I4" s="14">
        <v>259.54000000000002</v>
      </c>
      <c r="J4" s="12"/>
      <c r="K4" s="12">
        <v>3087.44</v>
      </c>
      <c r="L4" s="14">
        <f t="shared" ref="L4:L7" si="3">H4-I4-J4-K4</f>
        <v>0</v>
      </c>
      <c r="M4" s="128">
        <v>179.4</v>
      </c>
      <c r="N4" s="128">
        <v>80.14</v>
      </c>
      <c r="O4" s="131"/>
      <c r="P4" s="131"/>
      <c r="Q4" s="131">
        <v>3057.42</v>
      </c>
      <c r="R4" s="136">
        <v>100.16</v>
      </c>
      <c r="S4" s="19">
        <f t="shared" ref="S4:T7" si="4">J4-P4</f>
        <v>0</v>
      </c>
      <c r="T4" s="12">
        <f>K4-Q4-5.28</f>
        <v>24.739999999999981</v>
      </c>
      <c r="U4" s="12">
        <f>G4-R4</f>
        <v>0</v>
      </c>
      <c r="V4" s="12">
        <f>I4-N4-M4</f>
        <v>0</v>
      </c>
      <c r="W4" s="12">
        <f>L4-O4</f>
        <v>0</v>
      </c>
      <c r="X4" s="14"/>
      <c r="Y4" s="14"/>
      <c r="Z4" s="16">
        <f>SUM(S4:W4)</f>
        <v>24.739999999999981</v>
      </c>
    </row>
    <row r="5" spans="1:28" ht="16.5" thickBot="1">
      <c r="A5" s="64" t="s">
        <v>16</v>
      </c>
      <c r="B5" s="10">
        <v>53</v>
      </c>
      <c r="C5" s="11">
        <v>156.52000000000001</v>
      </c>
      <c r="D5" s="12">
        <f t="shared" si="0"/>
        <v>29.532075471698114</v>
      </c>
      <c r="E5" s="11">
        <v>2.44</v>
      </c>
      <c r="F5" s="13">
        <f t="shared" si="1"/>
        <v>1.5589062100690005</v>
      </c>
      <c r="G5" s="11">
        <v>7.9</v>
      </c>
      <c r="H5" s="15">
        <f t="shared" si="2"/>
        <v>146.18</v>
      </c>
      <c r="I5" s="18"/>
      <c r="J5" s="11"/>
      <c r="K5" s="11">
        <v>146.18</v>
      </c>
      <c r="L5" s="14">
        <f t="shared" si="3"/>
        <v>0</v>
      </c>
      <c r="M5" s="129"/>
      <c r="N5" s="129"/>
      <c r="O5" s="131"/>
      <c r="P5" s="131"/>
      <c r="Q5" s="138">
        <v>145.93600000000001</v>
      </c>
      <c r="R5" s="136">
        <v>7.9</v>
      </c>
      <c r="S5" s="19">
        <f t="shared" si="4"/>
        <v>0</v>
      </c>
      <c r="T5" s="12">
        <f t="shared" si="4"/>
        <v>0.24399999999999977</v>
      </c>
      <c r="U5" s="12">
        <f>G5-R5</f>
        <v>0</v>
      </c>
      <c r="V5" s="12">
        <f t="shared" ref="V5:V7" si="5">I5-M5</f>
        <v>0</v>
      </c>
      <c r="W5" s="12">
        <f>L5-O5</f>
        <v>0</v>
      </c>
      <c r="X5" s="14"/>
      <c r="Y5" s="14"/>
      <c r="Z5" s="16">
        <f t="shared" ref="Z5:Z7" si="6">SUM(S5:W5)</f>
        <v>0.24399999999999977</v>
      </c>
    </row>
    <row r="6" spans="1:28" s="28" customFormat="1" ht="16.5" thickBot="1">
      <c r="A6" s="65" t="s">
        <v>17</v>
      </c>
      <c r="B6" s="10">
        <v>598</v>
      </c>
      <c r="C6" s="11">
        <v>1465.46</v>
      </c>
      <c r="D6" s="12">
        <f t="shared" si="0"/>
        <v>24.506020066889633</v>
      </c>
      <c r="E6" s="11">
        <v>56.295000000000002</v>
      </c>
      <c r="F6" s="13">
        <f t="shared" si="1"/>
        <v>3.8414559251020157</v>
      </c>
      <c r="G6" s="11">
        <v>73.02</v>
      </c>
      <c r="H6" s="15">
        <f>C6-E6-G6</f>
        <v>1336.145</v>
      </c>
      <c r="I6" s="18">
        <v>189</v>
      </c>
      <c r="J6" s="11">
        <v>818.3</v>
      </c>
      <c r="K6" s="11"/>
      <c r="L6" s="14">
        <f t="shared" si="3"/>
        <v>328.84500000000003</v>
      </c>
      <c r="M6" s="129"/>
      <c r="N6" s="129"/>
      <c r="O6" s="132">
        <v>319.83</v>
      </c>
      <c r="P6" s="131">
        <v>818.3</v>
      </c>
      <c r="Q6" s="131"/>
      <c r="R6" s="136">
        <v>73.02</v>
      </c>
      <c r="S6" s="19">
        <f t="shared" si="4"/>
        <v>0</v>
      </c>
      <c r="T6" s="12">
        <f t="shared" si="4"/>
        <v>0</v>
      </c>
      <c r="U6" s="12">
        <f>G6-R6</f>
        <v>0</v>
      </c>
      <c r="V6" s="12">
        <f t="shared" si="5"/>
        <v>189</v>
      </c>
      <c r="W6" s="12">
        <f>L6-O6-9.015</f>
        <v>4.2632564145606011E-14</v>
      </c>
      <c r="X6" s="14"/>
      <c r="Y6" s="14"/>
      <c r="Z6" s="16">
        <f t="shared" si="6"/>
        <v>189.00000000000006</v>
      </c>
    </row>
    <row r="7" spans="1:28" s="28" customFormat="1" ht="16.5" thickBot="1">
      <c r="A7" s="65" t="s">
        <v>18</v>
      </c>
      <c r="B7" s="29">
        <v>631</v>
      </c>
      <c r="C7" s="33">
        <v>988.62</v>
      </c>
      <c r="D7" s="49">
        <f t="shared" si="0"/>
        <v>15.667511885895404</v>
      </c>
      <c r="E7" s="49">
        <v>219.6</v>
      </c>
      <c r="F7" s="13">
        <f t="shared" si="1"/>
        <v>22.212781452934394</v>
      </c>
      <c r="G7" s="33"/>
      <c r="H7" s="15">
        <f>C7-E7-G7</f>
        <v>769.02</v>
      </c>
      <c r="I7" s="31"/>
      <c r="J7" s="13"/>
      <c r="K7" s="13"/>
      <c r="L7" s="14">
        <f t="shared" si="3"/>
        <v>769.02</v>
      </c>
      <c r="M7" s="35"/>
      <c r="N7" s="35"/>
      <c r="O7" s="133">
        <f>219.68+198.2</f>
        <v>417.88</v>
      </c>
      <c r="P7" s="133"/>
      <c r="Q7" s="133"/>
      <c r="R7" s="137"/>
      <c r="S7" s="19">
        <f t="shared" si="4"/>
        <v>0</v>
      </c>
      <c r="T7" s="12">
        <f t="shared" si="4"/>
        <v>0</v>
      </c>
      <c r="U7" s="12">
        <f>G7-R7</f>
        <v>0</v>
      </c>
      <c r="V7" s="12">
        <f t="shared" si="5"/>
        <v>0</v>
      </c>
      <c r="W7" s="12">
        <f>L7-O7</f>
        <v>351.14</v>
      </c>
      <c r="X7" s="14"/>
      <c r="Y7" s="14"/>
      <c r="Z7" s="16">
        <f t="shared" si="6"/>
        <v>351.14</v>
      </c>
    </row>
    <row r="8" spans="1:28" s="43" customFormat="1" ht="16.5" thickBot="1">
      <c r="A8" s="66" t="s">
        <v>19</v>
      </c>
      <c r="B8" s="36">
        <v>633</v>
      </c>
      <c r="C8" s="50">
        <v>1664.1</v>
      </c>
      <c r="D8" s="49">
        <f t="shared" si="0"/>
        <v>26.289099526066352</v>
      </c>
      <c r="E8" s="51">
        <v>168.22</v>
      </c>
      <c r="F8" s="13">
        <f t="shared" si="1"/>
        <v>10.108767501953009</v>
      </c>
      <c r="G8" s="50">
        <v>83.51</v>
      </c>
      <c r="H8" s="15">
        <f t="shared" si="2"/>
        <v>1412.37</v>
      </c>
      <c r="I8" s="39"/>
      <c r="J8" s="40"/>
      <c r="K8" s="40"/>
      <c r="L8" s="14">
        <f>H8</f>
        <v>1412.37</v>
      </c>
      <c r="M8" s="130"/>
      <c r="N8" s="130"/>
      <c r="O8" s="133">
        <v>1412.37</v>
      </c>
      <c r="P8" s="133"/>
      <c r="Q8" s="133"/>
      <c r="R8" s="137">
        <v>83.51</v>
      </c>
      <c r="S8" s="19">
        <f t="shared" ref="S8:S10" si="7">J8-P8</f>
        <v>0</v>
      </c>
      <c r="T8" s="12">
        <f t="shared" ref="T8:T11" si="8">K8-Q8</f>
        <v>0</v>
      </c>
      <c r="U8" s="12">
        <f t="shared" ref="U8:U11" si="9">G8-R8</f>
        <v>0</v>
      </c>
      <c r="V8" s="12">
        <f t="shared" ref="V8:V11" si="10">I8-M8</f>
        <v>0</v>
      </c>
      <c r="W8" s="12">
        <f t="shared" ref="W8:W11" si="11">L8-O8</f>
        <v>0</v>
      </c>
      <c r="X8" s="14"/>
      <c r="Y8" s="14"/>
      <c r="Z8" s="16">
        <f t="shared" ref="Z8:Z11" si="12">SUM(S8:W8)</f>
        <v>0</v>
      </c>
    </row>
    <row r="9" spans="1:28" s="28" customFormat="1" ht="16.5" thickBot="1">
      <c r="A9" s="65" t="s">
        <v>15</v>
      </c>
      <c r="B9" s="29"/>
      <c r="C9" s="33"/>
      <c r="D9" s="49"/>
      <c r="E9" s="49"/>
      <c r="F9" s="13"/>
      <c r="G9" s="33"/>
      <c r="H9" s="15">
        <f t="shared" si="2"/>
        <v>0</v>
      </c>
      <c r="I9" s="31"/>
      <c r="J9" s="12"/>
      <c r="K9" s="12"/>
      <c r="L9" s="14"/>
      <c r="M9" s="130"/>
      <c r="N9" s="130"/>
      <c r="O9" s="133"/>
      <c r="P9" s="133"/>
      <c r="Q9" s="133"/>
      <c r="R9" s="137"/>
      <c r="S9" s="19">
        <f t="shared" si="7"/>
        <v>0</v>
      </c>
      <c r="T9" s="12">
        <f t="shared" si="8"/>
        <v>0</v>
      </c>
      <c r="U9" s="12">
        <f t="shared" si="9"/>
        <v>0</v>
      </c>
      <c r="V9" s="12">
        <f t="shared" si="10"/>
        <v>0</v>
      </c>
      <c r="W9" s="12">
        <f t="shared" si="11"/>
        <v>0</v>
      </c>
      <c r="X9" s="14"/>
      <c r="Y9" s="14"/>
      <c r="Z9" s="16">
        <f t="shared" si="12"/>
        <v>0</v>
      </c>
    </row>
    <row r="10" spans="1:28" s="28" customFormat="1" ht="16.5" thickBot="1">
      <c r="A10" s="66" t="s">
        <v>20</v>
      </c>
      <c r="B10" s="36">
        <v>596</v>
      </c>
      <c r="C10" s="50">
        <v>4198.12</v>
      </c>
      <c r="D10" s="49">
        <f t="shared" si="0"/>
        <v>70.438255033557041</v>
      </c>
      <c r="E10" s="51">
        <v>627.11</v>
      </c>
      <c r="F10" s="13">
        <f t="shared" si="1"/>
        <v>14.937876954446278</v>
      </c>
      <c r="G10" s="50">
        <v>91.68</v>
      </c>
      <c r="H10" s="15">
        <f>C10-E10-G10</f>
        <v>3479.33</v>
      </c>
      <c r="I10" s="45"/>
      <c r="J10" s="40"/>
      <c r="K10" s="40"/>
      <c r="L10" s="14">
        <f>H10</f>
        <v>3479.33</v>
      </c>
      <c r="M10" s="130"/>
      <c r="N10" s="130"/>
      <c r="O10" s="134">
        <v>2644.5</v>
      </c>
      <c r="P10" s="133"/>
      <c r="Q10" s="133"/>
      <c r="R10" s="137"/>
      <c r="S10" s="19">
        <f t="shared" si="7"/>
        <v>0</v>
      </c>
      <c r="T10" s="12">
        <f t="shared" si="8"/>
        <v>0</v>
      </c>
      <c r="U10" s="12">
        <f t="shared" si="9"/>
        <v>91.68</v>
      </c>
      <c r="V10" s="12">
        <f t="shared" si="10"/>
        <v>0</v>
      </c>
      <c r="W10" s="12">
        <f t="shared" si="11"/>
        <v>834.82999999999993</v>
      </c>
      <c r="X10" s="14"/>
      <c r="Y10" s="14"/>
      <c r="Z10" s="16">
        <f>SUM(S10:W10)</f>
        <v>926.51</v>
      </c>
    </row>
    <row r="11" spans="1:28" s="28" customFormat="1" ht="16.5" outlineLevel="1" thickBot="1">
      <c r="A11" s="67" t="s">
        <v>28</v>
      </c>
      <c r="B11" s="61">
        <v>354</v>
      </c>
      <c r="C11" s="61">
        <v>18013.36</v>
      </c>
      <c r="D11" s="49">
        <f t="shared" si="0"/>
        <v>508.85197740112994</v>
      </c>
      <c r="E11" s="60">
        <v>992.24</v>
      </c>
      <c r="F11" s="13">
        <f t="shared" si="1"/>
        <v>5.5083560201983417</v>
      </c>
      <c r="G11" s="60"/>
      <c r="H11" s="123">
        <v>17021.12</v>
      </c>
      <c r="I11" s="124"/>
      <c r="J11" s="124"/>
      <c r="K11" s="124"/>
      <c r="L11" s="125">
        <f>H11</f>
        <v>17021.12</v>
      </c>
      <c r="M11" s="35"/>
      <c r="N11" s="35"/>
      <c r="O11" s="135">
        <f>H11</f>
        <v>17021.12</v>
      </c>
      <c r="P11" s="133"/>
      <c r="Q11" s="133"/>
      <c r="R11" s="137"/>
      <c r="S11" s="19">
        <f>J11-P11</f>
        <v>0</v>
      </c>
      <c r="T11" s="12">
        <f t="shared" si="8"/>
        <v>0</v>
      </c>
      <c r="U11" s="12">
        <f t="shared" si="9"/>
        <v>0</v>
      </c>
      <c r="V11" s="12">
        <f t="shared" si="10"/>
        <v>0</v>
      </c>
      <c r="W11" s="12">
        <f t="shared" si="11"/>
        <v>0</v>
      </c>
      <c r="X11" s="14"/>
      <c r="Y11" s="14"/>
      <c r="Z11" s="16">
        <f t="shared" si="12"/>
        <v>0</v>
      </c>
    </row>
    <row r="12" spans="1:28">
      <c r="A12" s="46"/>
    </row>
    <row r="13" spans="1:28">
      <c r="A13" s="69" t="s">
        <v>0</v>
      </c>
      <c r="B13" s="70">
        <f ca="1">TODAY()</f>
        <v>42853</v>
      </c>
    </row>
    <row r="14" spans="1:28">
      <c r="C14" s="47"/>
    </row>
    <row r="16" spans="1:28">
      <c r="A16" s="121" t="s">
        <v>84</v>
      </c>
    </row>
    <row r="18" spans="1:28" ht="18.75">
      <c r="A18" s="98" t="s">
        <v>25</v>
      </c>
      <c r="Z18"/>
      <c r="AB18" s="1"/>
    </row>
    <row r="19" spans="1:28" ht="15.75" thickBot="1">
      <c r="Z19"/>
      <c r="AB19" s="1"/>
    </row>
    <row r="20" spans="1:28" ht="24.75" thickBot="1">
      <c r="A20" s="79" t="s">
        <v>1</v>
      </c>
      <c r="B20" s="94" t="s">
        <v>27</v>
      </c>
      <c r="C20" s="95" t="s">
        <v>82</v>
      </c>
      <c r="D20" s="96" t="s">
        <v>34</v>
      </c>
      <c r="E20" s="94" t="s">
        <v>9</v>
      </c>
      <c r="F20" s="95" t="s">
        <v>33</v>
      </c>
      <c r="G20" s="96" t="s">
        <v>34</v>
      </c>
      <c r="H20" s="94" t="s">
        <v>10</v>
      </c>
      <c r="I20" s="95" t="s">
        <v>33</v>
      </c>
      <c r="J20" s="96" t="s">
        <v>34</v>
      </c>
      <c r="K20" s="94" t="s">
        <v>21</v>
      </c>
      <c r="L20" s="95" t="s">
        <v>33</v>
      </c>
      <c r="M20" s="96" t="s">
        <v>34</v>
      </c>
      <c r="N20" s="97" t="s">
        <v>13</v>
      </c>
      <c r="Z20"/>
      <c r="AB20" s="1"/>
    </row>
    <row r="21" spans="1:28" ht="16.5" thickBot="1">
      <c r="A21" s="79" t="s">
        <v>14</v>
      </c>
      <c r="B21" s="89">
        <v>80.14</v>
      </c>
      <c r="C21" s="90">
        <v>8300</v>
      </c>
      <c r="D21" s="91">
        <f>B21*C21</f>
        <v>665162</v>
      </c>
      <c r="E21" s="89">
        <f>P4</f>
        <v>0</v>
      </c>
      <c r="F21" s="90"/>
      <c r="G21" s="91"/>
      <c r="H21" s="89">
        <f>Q4</f>
        <v>3057.42</v>
      </c>
      <c r="I21" s="90">
        <f>J21/H21</f>
        <v>8438.6494757017354</v>
      </c>
      <c r="J21" s="92">
        <f>26571359.68-770864</f>
        <v>25800495.68</v>
      </c>
      <c r="K21" s="89">
        <f>R4</f>
        <v>100.16</v>
      </c>
      <c r="L21" s="90">
        <v>3000</v>
      </c>
      <c r="M21" s="92">
        <f>K21*L21</f>
        <v>300480</v>
      </c>
      <c r="N21" s="93">
        <f>D21+G21+J21+M21</f>
        <v>26766137.68</v>
      </c>
      <c r="Z21"/>
      <c r="AB21" s="1"/>
    </row>
    <row r="22" spans="1:28" ht="16.5" thickBot="1">
      <c r="A22" s="80" t="s">
        <v>16</v>
      </c>
      <c r="B22" s="89">
        <f t="shared" ref="B22:B25" si="13">O5</f>
        <v>0</v>
      </c>
      <c r="C22" s="71"/>
      <c r="D22" s="84"/>
      <c r="E22" s="89">
        <f t="shared" ref="E22:E25" si="14">P5</f>
        <v>0</v>
      </c>
      <c r="F22" s="71"/>
      <c r="G22" s="84"/>
      <c r="H22" s="89">
        <f t="shared" ref="H22:H25" si="15">Q5</f>
        <v>145.93600000000001</v>
      </c>
      <c r="I22" s="71">
        <f>J22/H22</f>
        <v>5262.9371779410149</v>
      </c>
      <c r="J22" s="87">
        <v>768052</v>
      </c>
      <c r="K22" s="89">
        <f t="shared" ref="K22:K25" si="16">R5</f>
        <v>7.9</v>
      </c>
      <c r="L22" s="90">
        <v>1500</v>
      </c>
      <c r="M22" s="87">
        <f>K22*L22</f>
        <v>11850</v>
      </c>
      <c r="N22" s="88">
        <f t="shared" ref="N22:N27" si="17">D22+G22+J22+M22</f>
        <v>779902</v>
      </c>
      <c r="Z22"/>
      <c r="AB22" s="1"/>
    </row>
    <row r="23" spans="1:28" ht="16.5" thickBot="1">
      <c r="A23" s="21" t="s">
        <v>17</v>
      </c>
      <c r="B23" s="89">
        <v>305.52</v>
      </c>
      <c r="C23" s="71">
        <f>D23/B23</f>
        <v>5657.1713799423933</v>
      </c>
      <c r="D23" s="84">
        <v>1728379</v>
      </c>
      <c r="E23" s="89">
        <f t="shared" si="14"/>
        <v>818.3</v>
      </c>
      <c r="F23" s="71">
        <v>8000</v>
      </c>
      <c r="G23" s="84">
        <f>E23*F23</f>
        <v>6546400</v>
      </c>
      <c r="H23" s="89">
        <f t="shared" si="15"/>
        <v>0</v>
      </c>
      <c r="I23" s="71"/>
      <c r="J23" s="87"/>
      <c r="K23" s="89">
        <f t="shared" si="16"/>
        <v>73.02</v>
      </c>
      <c r="L23" s="90">
        <v>3000</v>
      </c>
      <c r="M23" s="87">
        <f>K23*L23</f>
        <v>219060</v>
      </c>
      <c r="N23" s="88">
        <f t="shared" si="17"/>
        <v>8493839</v>
      </c>
      <c r="Z23"/>
      <c r="AB23" s="1"/>
    </row>
    <row r="24" spans="1:28" ht="16.5" thickBot="1">
      <c r="A24" s="21" t="s">
        <v>18</v>
      </c>
      <c r="B24" s="89">
        <f t="shared" si="13"/>
        <v>417.88</v>
      </c>
      <c r="C24" s="71">
        <v>22300</v>
      </c>
      <c r="D24" s="84">
        <f>B24*C24</f>
        <v>9318724</v>
      </c>
      <c r="E24" s="89">
        <f t="shared" si="14"/>
        <v>0</v>
      </c>
      <c r="F24" s="71"/>
      <c r="G24" s="84"/>
      <c r="H24" s="89">
        <f t="shared" si="15"/>
        <v>0</v>
      </c>
      <c r="I24" s="71"/>
      <c r="J24" s="87"/>
      <c r="K24" s="89">
        <f t="shared" si="16"/>
        <v>0</v>
      </c>
      <c r="L24" s="71"/>
      <c r="M24" s="87"/>
      <c r="N24" s="88">
        <f t="shared" si="17"/>
        <v>9318724</v>
      </c>
      <c r="Z24"/>
      <c r="AB24" s="1"/>
    </row>
    <row r="25" spans="1:28" ht="16.5" thickBot="1">
      <c r="A25" s="81" t="s">
        <v>19</v>
      </c>
      <c r="B25" s="89">
        <f t="shared" si="13"/>
        <v>1412.37</v>
      </c>
      <c r="C25" s="71">
        <v>17985.18</v>
      </c>
      <c r="D25" s="84">
        <f>B25*C25</f>
        <v>25401728.676599998</v>
      </c>
      <c r="E25" s="89">
        <f t="shared" si="14"/>
        <v>0</v>
      </c>
      <c r="F25" s="71"/>
      <c r="G25" s="84"/>
      <c r="H25" s="89">
        <f t="shared" si="15"/>
        <v>0</v>
      </c>
      <c r="I25" s="71"/>
      <c r="J25" s="87"/>
      <c r="K25" s="89">
        <f t="shared" si="16"/>
        <v>83.51</v>
      </c>
      <c r="L25" s="71">
        <f>M25/K25</f>
        <v>1308.9089929349777</v>
      </c>
      <c r="M25" s="87">
        <v>109306.99</v>
      </c>
      <c r="N25" s="88">
        <f t="shared" si="17"/>
        <v>25511035.666599996</v>
      </c>
      <c r="Z25"/>
      <c r="AB25" s="1"/>
    </row>
    <row r="26" spans="1:28" ht="16.5" thickBot="1">
      <c r="A26" s="81" t="s">
        <v>79</v>
      </c>
      <c r="B26" s="89">
        <f>O10</f>
        <v>2644.5</v>
      </c>
      <c r="C26" s="71">
        <v>7500</v>
      </c>
      <c r="D26" s="84">
        <f>B26*C26</f>
        <v>19833750</v>
      </c>
      <c r="E26" s="89">
        <f>P10</f>
        <v>0</v>
      </c>
      <c r="F26" s="71"/>
      <c r="G26" s="84"/>
      <c r="H26" s="89">
        <f>Q10</f>
        <v>0</v>
      </c>
      <c r="I26" s="71"/>
      <c r="J26" s="87"/>
      <c r="K26" s="89">
        <f>R10</f>
        <v>0</v>
      </c>
      <c r="L26" s="71"/>
      <c r="M26" s="87"/>
      <c r="N26" s="88">
        <f t="shared" si="17"/>
        <v>19833750</v>
      </c>
      <c r="O26" s="1" t="s">
        <v>80</v>
      </c>
      <c r="Z26"/>
      <c r="AB26" s="1"/>
    </row>
    <row r="27" spans="1:28" ht="16.5" thickBot="1">
      <c r="A27" s="82" t="s">
        <v>28</v>
      </c>
      <c r="B27" s="89">
        <f>O11</f>
        <v>17021.12</v>
      </c>
      <c r="C27" s="119">
        <f>D27/B27</f>
        <v>3117.5017272658911</v>
      </c>
      <c r="D27" s="120">
        <v>53063371</v>
      </c>
      <c r="E27" s="89">
        <f>P11</f>
        <v>0</v>
      </c>
      <c r="F27" s="86"/>
      <c r="G27" s="85"/>
      <c r="H27" s="89">
        <f>Q11</f>
        <v>0</v>
      </c>
      <c r="I27" s="86"/>
      <c r="J27" s="85"/>
      <c r="K27" s="89">
        <f>R11</f>
        <v>0</v>
      </c>
      <c r="L27" s="86"/>
      <c r="M27" s="85"/>
      <c r="N27" s="88">
        <f t="shared" si="17"/>
        <v>53063371</v>
      </c>
      <c r="Z27"/>
      <c r="AB27" s="1"/>
    </row>
    <row r="28" spans="1:28" ht="15.75">
      <c r="N28" s="116">
        <f>SUM(N21:N27)</f>
        <v>143766759.3466</v>
      </c>
    </row>
  </sheetData>
  <mergeCells count="11">
    <mergeCell ref="S2:Z2"/>
    <mergeCell ref="A1:Z1"/>
    <mergeCell ref="D2:D3"/>
    <mergeCell ref="E2:F2"/>
    <mergeCell ref="G2:G3"/>
    <mergeCell ref="H2:H3"/>
    <mergeCell ref="I2:L2"/>
    <mergeCell ref="M2:R2"/>
    <mergeCell ref="A2:A3"/>
    <mergeCell ref="B2:B3"/>
    <mergeCell ref="C2:C3"/>
  </mergeCells>
  <printOptions gridLines="1"/>
  <pageMargins left="0.31496062992125984" right="0.23622047244094491" top="0.2" bottom="0.2" header="0.31496062992125984" footer="0.31496062992125984"/>
  <pageSetup paperSize="9" scale="4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A2" sqref="A1:K7"/>
    </sheetView>
  </sheetViews>
  <sheetFormatPr defaultRowHeight="15"/>
  <cols>
    <col min="1" max="1" width="14.85546875" customWidth="1"/>
    <col min="2" max="2" width="13.140625" customWidth="1"/>
    <col min="4" max="4" width="21" customWidth="1"/>
    <col min="7" max="7" width="17.7109375" customWidth="1"/>
    <col min="9" max="9" width="10.140625" customWidth="1"/>
    <col min="10" max="10" width="12.28515625" customWidth="1"/>
    <col min="11" max="11" width="10.28515625" customWidth="1"/>
  </cols>
  <sheetData>
    <row r="1" spans="1:11">
      <c r="A1" t="s">
        <v>36</v>
      </c>
      <c r="B1" t="s">
        <v>40</v>
      </c>
      <c r="C1" t="s">
        <v>41</v>
      </c>
      <c r="D1" t="s">
        <v>37</v>
      </c>
      <c r="E1" t="s">
        <v>33</v>
      </c>
      <c r="F1" t="s">
        <v>34</v>
      </c>
      <c r="G1" t="s">
        <v>38</v>
      </c>
      <c r="H1" t="s">
        <v>70</v>
      </c>
      <c r="I1" t="s">
        <v>71</v>
      </c>
      <c r="J1" t="s">
        <v>44</v>
      </c>
      <c r="K1" t="s">
        <v>29</v>
      </c>
    </row>
    <row r="2" spans="1:11">
      <c r="A2" t="s">
        <v>46</v>
      </c>
      <c r="B2" t="s">
        <v>31</v>
      </c>
      <c r="C2" t="s">
        <v>10</v>
      </c>
      <c r="D2">
        <v>350</v>
      </c>
      <c r="E2">
        <v>8300</v>
      </c>
      <c r="F2">
        <v>2905000</v>
      </c>
      <c r="G2">
        <v>350</v>
      </c>
      <c r="H2">
        <v>8300</v>
      </c>
      <c r="I2">
        <v>2905000</v>
      </c>
      <c r="J2">
        <v>2905000</v>
      </c>
      <c r="K2">
        <v>0</v>
      </c>
    </row>
    <row r="3" spans="1:11">
      <c r="A3" t="s">
        <v>47</v>
      </c>
      <c r="B3" t="s">
        <v>31</v>
      </c>
      <c r="C3" t="s">
        <v>10</v>
      </c>
      <c r="D3">
        <v>2000</v>
      </c>
      <c r="E3">
        <v>8300</v>
      </c>
      <c r="F3">
        <v>16600000</v>
      </c>
      <c r="G3">
        <v>2000</v>
      </c>
      <c r="H3">
        <v>8300</v>
      </c>
      <c r="I3">
        <v>16600000</v>
      </c>
      <c r="J3">
        <v>16600000</v>
      </c>
      <c r="K3">
        <v>0</v>
      </c>
    </row>
    <row r="4" spans="1:11">
      <c r="A4" t="s">
        <v>46</v>
      </c>
      <c r="B4" t="s">
        <v>31</v>
      </c>
      <c r="C4" t="s">
        <v>10</v>
      </c>
      <c r="D4">
        <v>115</v>
      </c>
      <c r="E4">
        <v>8300</v>
      </c>
      <c r="F4">
        <v>954500</v>
      </c>
      <c r="G4">
        <v>115</v>
      </c>
      <c r="H4">
        <v>8300</v>
      </c>
      <c r="I4">
        <v>954500</v>
      </c>
      <c r="J4">
        <v>954500</v>
      </c>
      <c r="K4">
        <v>0</v>
      </c>
    </row>
    <row r="5" spans="1:11">
      <c r="A5" t="s">
        <v>42</v>
      </c>
      <c r="B5" t="s">
        <v>31</v>
      </c>
      <c r="C5" t="s">
        <v>43</v>
      </c>
      <c r="D5">
        <v>600</v>
      </c>
      <c r="E5">
        <v>7500</v>
      </c>
      <c r="F5">
        <v>4500000</v>
      </c>
      <c r="G5">
        <v>612.38</v>
      </c>
      <c r="H5">
        <v>7500</v>
      </c>
      <c r="I5">
        <v>4592850</v>
      </c>
      <c r="J5">
        <v>4592850</v>
      </c>
      <c r="K5">
        <v>0</v>
      </c>
    </row>
    <row r="6" spans="1:11">
      <c r="A6" t="s">
        <v>45</v>
      </c>
      <c r="B6" t="s">
        <v>31</v>
      </c>
      <c r="C6" t="s">
        <v>43</v>
      </c>
      <c r="D6">
        <v>630</v>
      </c>
      <c r="E6">
        <v>7500</v>
      </c>
      <c r="F6">
        <v>4725000</v>
      </c>
      <c r="G6">
        <v>643.78</v>
      </c>
      <c r="H6">
        <v>7500</v>
      </c>
      <c r="I6">
        <v>4828350</v>
      </c>
      <c r="J6">
        <v>4828350</v>
      </c>
      <c r="K6">
        <v>0</v>
      </c>
    </row>
    <row r="7" spans="1:11">
      <c r="A7" t="s">
        <v>49</v>
      </c>
      <c r="B7" t="s">
        <v>31</v>
      </c>
      <c r="C7" t="s">
        <v>43</v>
      </c>
      <c r="D7">
        <v>8.6999999999999993</v>
      </c>
      <c r="E7">
        <v>5000</v>
      </c>
      <c r="F7">
        <v>43500</v>
      </c>
      <c r="G7">
        <v>8.6999999999999993</v>
      </c>
      <c r="H7">
        <v>5000</v>
      </c>
      <c r="I7">
        <v>43500</v>
      </c>
      <c r="J7">
        <v>43500</v>
      </c>
      <c r="K7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K2"/>
  <sheetViews>
    <sheetView workbookViewId="0">
      <selection sqref="A1:K2"/>
    </sheetView>
  </sheetViews>
  <sheetFormatPr defaultRowHeight="15"/>
  <cols>
    <col min="1" max="1" width="14.85546875" customWidth="1"/>
    <col min="2" max="2" width="13.140625" customWidth="1"/>
    <col min="4" max="4" width="21" customWidth="1"/>
    <col min="7" max="7" width="17.7109375" customWidth="1"/>
    <col min="9" max="9" width="10.140625" customWidth="1"/>
    <col min="10" max="10" width="12.28515625" customWidth="1"/>
    <col min="11" max="11" width="10.28515625" customWidth="1"/>
  </cols>
  <sheetData>
    <row r="1" spans="1:11">
      <c r="A1" t="s">
        <v>36</v>
      </c>
      <c r="B1" t="s">
        <v>40</v>
      </c>
      <c r="C1" t="s">
        <v>41</v>
      </c>
      <c r="D1" t="s">
        <v>37</v>
      </c>
      <c r="E1" t="s">
        <v>33</v>
      </c>
      <c r="F1" t="s">
        <v>34</v>
      </c>
      <c r="G1" t="s">
        <v>38</v>
      </c>
      <c r="H1" t="s">
        <v>70</v>
      </c>
      <c r="I1" t="s">
        <v>71</v>
      </c>
      <c r="J1" t="s">
        <v>44</v>
      </c>
      <c r="K1" t="s">
        <v>29</v>
      </c>
    </row>
    <row r="2" spans="1:11">
      <c r="A2" t="s">
        <v>66</v>
      </c>
      <c r="B2" t="s">
        <v>31</v>
      </c>
      <c r="C2" t="s">
        <v>69</v>
      </c>
      <c r="D2">
        <v>501</v>
      </c>
      <c r="E2">
        <v>6000</v>
      </c>
      <c r="F2">
        <v>3006000</v>
      </c>
      <c r="G2">
        <v>323.66000000000003</v>
      </c>
      <c r="H2">
        <v>6000</v>
      </c>
      <c r="I2">
        <v>1941960.0000000002</v>
      </c>
      <c r="J2">
        <v>3006000</v>
      </c>
      <c r="K2">
        <v>1064039.9999999998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K3"/>
  <sheetViews>
    <sheetView workbookViewId="0">
      <selection sqref="A1:K3"/>
    </sheetView>
  </sheetViews>
  <sheetFormatPr defaultRowHeight="15"/>
  <cols>
    <col min="1" max="1" width="14.85546875" customWidth="1"/>
    <col min="2" max="2" width="13.140625" customWidth="1"/>
    <col min="4" max="4" width="21" customWidth="1"/>
    <col min="7" max="7" width="17.7109375" customWidth="1"/>
    <col min="9" max="9" width="10.140625" customWidth="1"/>
    <col min="10" max="10" width="12.28515625" customWidth="1"/>
    <col min="11" max="11" width="10.28515625" customWidth="1"/>
  </cols>
  <sheetData>
    <row r="1" spans="1:11">
      <c r="A1" t="s">
        <v>36</v>
      </c>
      <c r="B1" t="s">
        <v>40</v>
      </c>
      <c r="C1" t="s">
        <v>41</v>
      </c>
      <c r="D1" t="s">
        <v>37</v>
      </c>
      <c r="E1" t="s">
        <v>33</v>
      </c>
      <c r="F1" t="s">
        <v>34</v>
      </c>
      <c r="G1" t="s">
        <v>38</v>
      </c>
      <c r="H1" t="s">
        <v>70</v>
      </c>
      <c r="I1" t="s">
        <v>71</v>
      </c>
      <c r="J1" t="s">
        <v>44</v>
      </c>
      <c r="K1" t="s">
        <v>29</v>
      </c>
    </row>
    <row r="2" spans="1:11">
      <c r="A2" t="s">
        <v>49</v>
      </c>
      <c r="B2" t="s">
        <v>31</v>
      </c>
      <c r="C2" t="s">
        <v>69</v>
      </c>
      <c r="D2">
        <v>80.567999999999998</v>
      </c>
      <c r="E2">
        <v>3000</v>
      </c>
      <c r="F2">
        <v>241704</v>
      </c>
      <c r="G2">
        <v>80.567999999999998</v>
      </c>
      <c r="H2">
        <v>3000</v>
      </c>
      <c r="I2">
        <v>241704</v>
      </c>
      <c r="J2">
        <v>241704</v>
      </c>
    </row>
    <row r="3" spans="1:11">
      <c r="A3" t="s">
        <v>66</v>
      </c>
      <c r="B3" t="s">
        <v>31</v>
      </c>
      <c r="C3" t="s">
        <v>69</v>
      </c>
      <c r="D3">
        <v>501</v>
      </c>
      <c r="E3">
        <v>6000</v>
      </c>
      <c r="F3">
        <v>3006000</v>
      </c>
      <c r="G3">
        <v>323.66000000000003</v>
      </c>
      <c r="H3">
        <v>6000</v>
      </c>
      <c r="I3">
        <v>1941960.0000000002</v>
      </c>
      <c r="J3">
        <v>3006000</v>
      </c>
      <c r="K3">
        <v>1064039.9999999998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L64"/>
  <sheetViews>
    <sheetView workbookViewId="0">
      <selection activeCell="G26" sqref="G26"/>
    </sheetView>
  </sheetViews>
  <sheetFormatPr defaultRowHeight="15"/>
  <cols>
    <col min="1" max="1" width="17.28515625" customWidth="1"/>
    <col min="2" max="2" width="12.7109375" customWidth="1"/>
    <col min="3" max="3" width="12.42578125" customWidth="1"/>
    <col min="4" max="4" width="15.5703125" customWidth="1"/>
    <col min="5" max="5" width="13.85546875" customWidth="1"/>
    <col min="6" max="6" width="12.42578125" bestFit="1" customWidth="1"/>
    <col min="7" max="7" width="12.140625" customWidth="1"/>
    <col min="8" max="8" width="9" customWidth="1"/>
    <col min="9" max="10" width="12.42578125" bestFit="1" customWidth="1"/>
    <col min="11" max="11" width="13.85546875" customWidth="1"/>
    <col min="12" max="12" width="31.7109375" bestFit="1" customWidth="1"/>
    <col min="13" max="13" width="39.42578125" bestFit="1" customWidth="1"/>
  </cols>
  <sheetData>
    <row r="1" spans="1:11">
      <c r="K1" s="99">
        <f ca="1">TODAY()</f>
        <v>42853</v>
      </c>
    </row>
    <row r="2" spans="1:11">
      <c r="A2" s="78" t="s">
        <v>35</v>
      </c>
    </row>
    <row r="3" spans="1:11" s="53" customFormat="1" ht="30">
      <c r="A3" s="72" t="s">
        <v>36</v>
      </c>
      <c r="B3" s="72" t="s">
        <v>40</v>
      </c>
      <c r="C3" s="72" t="s">
        <v>41</v>
      </c>
      <c r="D3" s="72" t="s">
        <v>37</v>
      </c>
      <c r="E3" s="72" t="s">
        <v>33</v>
      </c>
      <c r="F3" s="72" t="s">
        <v>34</v>
      </c>
      <c r="G3" s="72" t="s">
        <v>38</v>
      </c>
      <c r="H3" s="72" t="s">
        <v>39</v>
      </c>
      <c r="I3" s="72" t="s">
        <v>34</v>
      </c>
      <c r="J3" s="72" t="s">
        <v>44</v>
      </c>
      <c r="K3" s="72" t="s">
        <v>29</v>
      </c>
    </row>
    <row r="4" spans="1:11">
      <c r="A4" s="102" t="s">
        <v>42</v>
      </c>
      <c r="B4" s="102" t="s">
        <v>31</v>
      </c>
      <c r="C4" s="102" t="s">
        <v>43</v>
      </c>
      <c r="D4" s="102">
        <v>600</v>
      </c>
      <c r="E4" s="102">
        <v>7500</v>
      </c>
      <c r="F4" s="102">
        <f t="shared" ref="F4:F10" si="0">D4*E4</f>
        <v>4500000</v>
      </c>
      <c r="G4" s="102">
        <v>612.38</v>
      </c>
      <c r="H4" s="102">
        <v>7500</v>
      </c>
      <c r="I4" s="102">
        <f t="shared" ref="I4:I10" si="1">G4*H4</f>
        <v>4592850</v>
      </c>
      <c r="J4" s="102">
        <v>4592850</v>
      </c>
      <c r="K4" s="102">
        <f>J4-I4</f>
        <v>0</v>
      </c>
    </row>
    <row r="5" spans="1:11">
      <c r="A5" s="102" t="s">
        <v>45</v>
      </c>
      <c r="B5" s="102" t="s">
        <v>31</v>
      </c>
      <c r="C5" s="102" t="s">
        <v>43</v>
      </c>
      <c r="D5" s="102">
        <v>630</v>
      </c>
      <c r="E5" s="102">
        <v>7500</v>
      </c>
      <c r="F5" s="102">
        <f t="shared" si="0"/>
        <v>4725000</v>
      </c>
      <c r="G5" s="102">
        <v>643.78</v>
      </c>
      <c r="H5" s="102">
        <v>7500</v>
      </c>
      <c r="I5" s="102">
        <f t="shared" si="1"/>
        <v>4828350</v>
      </c>
      <c r="J5" s="102">
        <v>4828350</v>
      </c>
      <c r="K5" s="102">
        <f>J5-I5</f>
        <v>0</v>
      </c>
    </row>
    <row r="6" spans="1:11">
      <c r="A6" s="102" t="s">
        <v>46</v>
      </c>
      <c r="B6" s="102" t="s">
        <v>31</v>
      </c>
      <c r="C6" s="102" t="s">
        <v>10</v>
      </c>
      <c r="D6" s="102">
        <v>350</v>
      </c>
      <c r="E6" s="102">
        <v>8300</v>
      </c>
      <c r="F6" s="102">
        <f t="shared" si="0"/>
        <v>2905000</v>
      </c>
      <c r="G6" s="102">
        <v>350</v>
      </c>
      <c r="H6" s="102">
        <v>8300</v>
      </c>
      <c r="I6" s="102">
        <f t="shared" si="1"/>
        <v>2905000</v>
      </c>
      <c r="J6" s="102">
        <v>2905000</v>
      </c>
      <c r="K6" s="102">
        <f>J6-I6</f>
        <v>0</v>
      </c>
    </row>
    <row r="7" spans="1:11">
      <c r="A7" s="102" t="s">
        <v>47</v>
      </c>
      <c r="B7" s="102" t="s">
        <v>31</v>
      </c>
      <c r="C7" s="102" t="s">
        <v>10</v>
      </c>
      <c r="D7" s="102">
        <v>2000</v>
      </c>
      <c r="E7" s="102">
        <v>8300</v>
      </c>
      <c r="F7" s="102">
        <f t="shared" si="0"/>
        <v>16600000</v>
      </c>
      <c r="G7" s="102">
        <v>2000</v>
      </c>
      <c r="H7" s="102">
        <v>8300</v>
      </c>
      <c r="I7" s="102">
        <f t="shared" si="1"/>
        <v>16600000</v>
      </c>
      <c r="J7" s="102">
        <v>16600000</v>
      </c>
      <c r="K7" s="102">
        <f t="shared" ref="K7:K17" si="2">J7-I7</f>
        <v>0</v>
      </c>
    </row>
    <row r="8" spans="1:11">
      <c r="A8" s="102" t="s">
        <v>46</v>
      </c>
      <c r="B8" s="102" t="s">
        <v>31</v>
      </c>
      <c r="C8" s="102" t="s">
        <v>10</v>
      </c>
      <c r="D8" s="102">
        <v>115</v>
      </c>
      <c r="E8" s="102">
        <v>8300</v>
      </c>
      <c r="F8" s="102">
        <f t="shared" si="0"/>
        <v>954500</v>
      </c>
      <c r="G8" s="102">
        <v>115</v>
      </c>
      <c r="H8" s="102">
        <v>8300</v>
      </c>
      <c r="I8" s="102">
        <v>954500</v>
      </c>
      <c r="J8" s="102">
        <v>954500</v>
      </c>
      <c r="K8" s="102">
        <f t="shared" si="2"/>
        <v>0</v>
      </c>
    </row>
    <row r="9" spans="1:11">
      <c r="A9" s="102" t="s">
        <v>55</v>
      </c>
      <c r="B9" s="102" t="s">
        <v>17</v>
      </c>
      <c r="C9" s="102" t="s">
        <v>9</v>
      </c>
      <c r="D9" s="102">
        <v>500</v>
      </c>
      <c r="E9" s="102">
        <v>9000</v>
      </c>
      <c r="F9" s="102">
        <f t="shared" si="0"/>
        <v>4500000</v>
      </c>
      <c r="G9" s="102">
        <v>335.9</v>
      </c>
      <c r="H9" s="102">
        <v>9000</v>
      </c>
      <c r="I9" s="102">
        <f t="shared" si="1"/>
        <v>3023100</v>
      </c>
      <c r="J9" s="102">
        <v>3023100</v>
      </c>
      <c r="K9" s="102">
        <f t="shared" si="2"/>
        <v>0</v>
      </c>
    </row>
    <row r="10" spans="1:11">
      <c r="A10" s="102" t="s">
        <v>48</v>
      </c>
      <c r="B10" s="102" t="s">
        <v>17</v>
      </c>
      <c r="C10" s="102" t="s">
        <v>9</v>
      </c>
      <c r="D10" s="102">
        <v>600</v>
      </c>
      <c r="E10" s="102">
        <v>9300</v>
      </c>
      <c r="F10" s="102">
        <f t="shared" si="0"/>
        <v>5580000</v>
      </c>
      <c r="G10" s="102">
        <v>600</v>
      </c>
      <c r="H10" s="102">
        <v>9300</v>
      </c>
      <c r="I10" s="102">
        <f t="shared" si="1"/>
        <v>5580000</v>
      </c>
      <c r="J10" s="102">
        <v>5580000</v>
      </c>
      <c r="K10" s="102">
        <f t="shared" si="2"/>
        <v>0</v>
      </c>
    </row>
    <row r="11" spans="1:11">
      <c r="A11" s="102" t="s">
        <v>49</v>
      </c>
      <c r="B11" s="102" t="s">
        <v>17</v>
      </c>
      <c r="C11" s="102" t="s">
        <v>50</v>
      </c>
      <c r="D11" s="102">
        <v>12.95</v>
      </c>
      <c r="E11" s="102"/>
      <c r="F11" s="102">
        <v>95787.24</v>
      </c>
      <c r="G11" s="102">
        <v>12.95</v>
      </c>
      <c r="H11" s="102"/>
      <c r="I11" s="102">
        <v>95878.24</v>
      </c>
      <c r="J11" s="102">
        <v>95878.24</v>
      </c>
      <c r="K11" s="102">
        <f t="shared" si="2"/>
        <v>0</v>
      </c>
    </row>
    <row r="12" spans="1:11">
      <c r="A12" s="102" t="s">
        <v>49</v>
      </c>
      <c r="B12" s="102" t="s">
        <v>17</v>
      </c>
      <c r="C12" s="102" t="s">
        <v>9</v>
      </c>
      <c r="D12" s="102">
        <v>0.11600000000000001</v>
      </c>
      <c r="E12" s="102">
        <v>5000</v>
      </c>
      <c r="F12" s="102">
        <f t="shared" ref="F12:F17" si="3">D12*E12</f>
        <v>580</v>
      </c>
      <c r="G12" s="102">
        <v>0.11600000000000001</v>
      </c>
      <c r="H12" s="102">
        <v>5000</v>
      </c>
      <c r="I12" s="102">
        <f>G12*H12</f>
        <v>580</v>
      </c>
      <c r="J12" s="102">
        <v>580</v>
      </c>
      <c r="K12" s="102">
        <f t="shared" si="2"/>
        <v>0</v>
      </c>
    </row>
    <row r="13" spans="1:11">
      <c r="A13" s="102" t="s">
        <v>49</v>
      </c>
      <c r="B13" s="102" t="s">
        <v>31</v>
      </c>
      <c r="C13" s="102" t="s">
        <v>43</v>
      </c>
      <c r="D13" s="102">
        <v>8.6999999999999993</v>
      </c>
      <c r="E13" s="102">
        <v>5000</v>
      </c>
      <c r="F13" s="102">
        <f t="shared" si="3"/>
        <v>43500</v>
      </c>
      <c r="G13" s="102">
        <v>8.6999999999999993</v>
      </c>
      <c r="H13" s="102">
        <v>5000</v>
      </c>
      <c r="I13" s="102">
        <f>G13*H13</f>
        <v>43500</v>
      </c>
      <c r="J13" s="102">
        <v>43500</v>
      </c>
      <c r="K13" s="102">
        <f t="shared" si="2"/>
        <v>0</v>
      </c>
    </row>
    <row r="14" spans="1:11">
      <c r="A14" s="102" t="s">
        <v>64</v>
      </c>
      <c r="B14" s="102" t="s">
        <v>17</v>
      </c>
      <c r="C14" s="102" t="s">
        <v>9</v>
      </c>
      <c r="D14" s="102">
        <v>800</v>
      </c>
      <c r="E14" s="102">
        <v>8800</v>
      </c>
      <c r="F14" s="102">
        <f t="shared" si="3"/>
        <v>7040000</v>
      </c>
      <c r="G14" s="102">
        <v>528.52</v>
      </c>
      <c r="H14" s="102">
        <v>8800</v>
      </c>
      <c r="I14" s="102">
        <f t="shared" ref="I14:I16" si="4">G14*H14</f>
        <v>4650976</v>
      </c>
      <c r="J14" s="102">
        <v>4650976</v>
      </c>
      <c r="K14" s="102">
        <f t="shared" si="2"/>
        <v>0</v>
      </c>
    </row>
    <row r="15" spans="1:11">
      <c r="A15" s="102" t="s">
        <v>66</v>
      </c>
      <c r="B15" s="102" t="s">
        <v>31</v>
      </c>
      <c r="C15" s="102" t="s">
        <v>69</v>
      </c>
      <c r="D15" s="102">
        <v>501</v>
      </c>
      <c r="E15" s="102">
        <v>6000</v>
      </c>
      <c r="F15" s="102">
        <f t="shared" si="3"/>
        <v>3006000</v>
      </c>
      <c r="G15" s="102">
        <v>478.9</v>
      </c>
      <c r="H15" s="102">
        <v>6000</v>
      </c>
      <c r="I15" s="102">
        <f t="shared" si="4"/>
        <v>2873400</v>
      </c>
      <c r="J15" s="102">
        <f>I15</f>
        <v>2873400</v>
      </c>
      <c r="K15" s="102">
        <f t="shared" si="2"/>
        <v>0</v>
      </c>
    </row>
    <row r="16" spans="1:11">
      <c r="A16" s="102" t="s">
        <v>76</v>
      </c>
      <c r="B16" s="102" t="s">
        <v>31</v>
      </c>
      <c r="C16" s="102" t="s">
        <v>69</v>
      </c>
      <c r="D16" s="102">
        <v>34.46</v>
      </c>
      <c r="E16" s="102">
        <v>4000</v>
      </c>
      <c r="F16" s="102">
        <f t="shared" si="3"/>
        <v>137840</v>
      </c>
      <c r="G16" s="102">
        <v>34.46</v>
      </c>
      <c r="H16" s="102">
        <v>4000</v>
      </c>
      <c r="I16" s="102">
        <f t="shared" si="4"/>
        <v>137840</v>
      </c>
      <c r="J16" s="102">
        <v>137840</v>
      </c>
      <c r="K16" s="102">
        <f t="shared" si="2"/>
        <v>0</v>
      </c>
    </row>
    <row r="17" spans="1:11">
      <c r="A17" s="118" t="s">
        <v>81</v>
      </c>
      <c r="B17" s="118" t="s">
        <v>17</v>
      </c>
      <c r="C17" s="118" t="s">
        <v>9</v>
      </c>
      <c r="D17" s="118">
        <v>272.92</v>
      </c>
      <c r="E17" s="118">
        <v>7500</v>
      </c>
      <c r="F17" s="118">
        <f t="shared" si="3"/>
        <v>2046900.0000000002</v>
      </c>
      <c r="G17" s="118">
        <v>272.92</v>
      </c>
      <c r="H17" s="118">
        <f>I17/G17</f>
        <v>7500</v>
      </c>
      <c r="I17" s="118">
        <v>2046900</v>
      </c>
      <c r="J17" s="118">
        <v>0</v>
      </c>
      <c r="K17" s="102">
        <f t="shared" si="2"/>
        <v>-2046900</v>
      </c>
    </row>
    <row r="18" spans="1:11">
      <c r="J18">
        <f>SUM(J4:J17)</f>
        <v>46285974.240000002</v>
      </c>
    </row>
    <row r="19" spans="1:11">
      <c r="A19" t="s">
        <v>1</v>
      </c>
      <c r="B19" t="s">
        <v>59</v>
      </c>
      <c r="C19" t="s">
        <v>56</v>
      </c>
      <c r="D19" t="s">
        <v>38</v>
      </c>
      <c r="E19" t="s">
        <v>60</v>
      </c>
    </row>
    <row r="20" spans="1:11">
      <c r="A20" s="68"/>
      <c r="B20" s="73" t="s">
        <v>54</v>
      </c>
      <c r="C20" s="68"/>
      <c r="D20" s="68"/>
      <c r="E20" s="68"/>
    </row>
    <row r="21" spans="1:11" ht="45">
      <c r="A21" s="77" t="s">
        <v>51</v>
      </c>
      <c r="B21" s="72" t="s">
        <v>53</v>
      </c>
      <c r="C21" s="72" t="s">
        <v>56</v>
      </c>
      <c r="D21" s="72" t="s">
        <v>57</v>
      </c>
      <c r="E21" s="72" t="s">
        <v>58</v>
      </c>
    </row>
    <row r="22" spans="1:11">
      <c r="A22" s="74" t="s">
        <v>31</v>
      </c>
      <c r="B22" s="112">
        <v>4239.16</v>
      </c>
      <c r="C22" s="112">
        <v>32871840</v>
      </c>
      <c r="D22" s="112">
        <v>4243.2199999999993</v>
      </c>
      <c r="E22" s="112">
        <v>32935440</v>
      </c>
    </row>
    <row r="23" spans="1:11">
      <c r="A23" s="76" t="s">
        <v>10</v>
      </c>
      <c r="B23" s="112">
        <v>2465</v>
      </c>
      <c r="C23" s="112">
        <v>20459500</v>
      </c>
      <c r="D23" s="112">
        <v>2465</v>
      </c>
      <c r="E23" s="112">
        <v>20459500</v>
      </c>
    </row>
    <row r="24" spans="1:11">
      <c r="A24" s="76" t="s">
        <v>43</v>
      </c>
      <c r="B24" s="112">
        <v>1238.7</v>
      </c>
      <c r="C24" s="112">
        <v>9268500</v>
      </c>
      <c r="D24" s="112">
        <v>1264.8599999999999</v>
      </c>
      <c r="E24" s="112">
        <v>9464700</v>
      </c>
    </row>
    <row r="25" spans="1:11">
      <c r="A25" s="76" t="s">
        <v>69</v>
      </c>
      <c r="B25" s="112">
        <v>535.46</v>
      </c>
      <c r="C25" s="112">
        <v>3143840</v>
      </c>
      <c r="D25" s="112">
        <v>513.36</v>
      </c>
      <c r="E25" s="112">
        <v>3011240</v>
      </c>
    </row>
    <row r="26" spans="1:11">
      <c r="A26" s="74" t="s">
        <v>17</v>
      </c>
      <c r="B26" s="112">
        <v>1913.066</v>
      </c>
      <c r="C26" s="112">
        <v>17216367.239999998</v>
      </c>
      <c r="D26" s="112">
        <v>1477.4860000000001</v>
      </c>
      <c r="E26" s="112">
        <v>13350534.24</v>
      </c>
    </row>
    <row r="27" spans="1:11">
      <c r="A27" s="76" t="s">
        <v>9</v>
      </c>
      <c r="B27" s="112">
        <v>1900.116</v>
      </c>
      <c r="C27" s="112">
        <v>17120580</v>
      </c>
      <c r="D27" s="112">
        <v>1464.5360000000001</v>
      </c>
      <c r="E27" s="112">
        <v>13254656</v>
      </c>
    </row>
    <row r="28" spans="1:11">
      <c r="A28" s="76" t="s">
        <v>50</v>
      </c>
      <c r="B28" s="112">
        <v>12.95</v>
      </c>
      <c r="C28" s="112">
        <v>95787.24</v>
      </c>
      <c r="D28" s="112">
        <v>12.95</v>
      </c>
      <c r="E28" s="112">
        <v>95878.24</v>
      </c>
    </row>
    <row r="29" spans="1:11">
      <c r="A29" s="74" t="s">
        <v>52</v>
      </c>
      <c r="B29" s="75">
        <v>6152.2259999999997</v>
      </c>
      <c r="C29" s="75">
        <v>50088207.240000002</v>
      </c>
      <c r="D29" s="75">
        <v>5720.7059999999992</v>
      </c>
      <c r="E29" s="75">
        <v>46285974.240000002</v>
      </c>
    </row>
    <row r="33" spans="1:12">
      <c r="K33" s="99"/>
    </row>
    <row r="34" spans="1:12">
      <c r="K34" s="99"/>
    </row>
    <row r="35" spans="1:12">
      <c r="A35" s="78" t="s">
        <v>61</v>
      </c>
    </row>
    <row r="36" spans="1:12" s="53" customFormat="1" ht="30">
      <c r="A36" s="72" t="s">
        <v>36</v>
      </c>
      <c r="B36" s="72" t="s">
        <v>40</v>
      </c>
      <c r="C36" s="72" t="s">
        <v>41</v>
      </c>
      <c r="D36" s="72" t="s">
        <v>37</v>
      </c>
      <c r="E36" s="72" t="s">
        <v>33</v>
      </c>
      <c r="F36" s="72" t="s">
        <v>34</v>
      </c>
      <c r="G36" s="72" t="s">
        <v>38</v>
      </c>
      <c r="H36" s="72" t="s">
        <v>39</v>
      </c>
      <c r="I36" s="72" t="s">
        <v>34</v>
      </c>
      <c r="J36" s="72" t="s">
        <v>44</v>
      </c>
      <c r="K36" s="72" t="s">
        <v>29</v>
      </c>
    </row>
    <row r="37" spans="1:12">
      <c r="A37" s="102" t="s">
        <v>46</v>
      </c>
      <c r="B37" s="102" t="s">
        <v>31</v>
      </c>
      <c r="C37" s="102" t="s">
        <v>10</v>
      </c>
      <c r="D37" s="108">
        <v>600</v>
      </c>
      <c r="E37" s="108">
        <v>8300</v>
      </c>
      <c r="F37" s="108">
        <f>D37*E37</f>
        <v>4980000</v>
      </c>
      <c r="G37" s="108">
        <v>600</v>
      </c>
      <c r="H37" s="108">
        <v>8300</v>
      </c>
      <c r="I37" s="108">
        <f>G37*H37</f>
        <v>4980000</v>
      </c>
      <c r="J37" s="109">
        <v>4980000</v>
      </c>
      <c r="K37" s="108">
        <f>J37-I37</f>
        <v>0</v>
      </c>
    </row>
    <row r="38" spans="1:12">
      <c r="A38" s="102" t="s">
        <v>62</v>
      </c>
      <c r="B38" s="102" t="s">
        <v>17</v>
      </c>
      <c r="C38" s="102" t="s">
        <v>9</v>
      </c>
      <c r="D38" s="108">
        <v>820</v>
      </c>
      <c r="E38" s="108">
        <v>8000</v>
      </c>
      <c r="F38" s="108">
        <f>D38*E38</f>
        <v>6560000</v>
      </c>
      <c r="G38" s="108">
        <v>818.3</v>
      </c>
      <c r="H38" s="108">
        <v>8000</v>
      </c>
      <c r="I38" s="108">
        <f>G38*H38</f>
        <v>6546400</v>
      </c>
      <c r="J38" s="108">
        <v>6546400</v>
      </c>
      <c r="K38" s="108">
        <f>J38-I38</f>
        <v>0</v>
      </c>
    </row>
    <row r="39" spans="1:12">
      <c r="A39" s="100" t="s">
        <v>63</v>
      </c>
      <c r="B39" s="100" t="s">
        <v>17</v>
      </c>
      <c r="C39" s="100" t="s">
        <v>9</v>
      </c>
      <c r="D39" s="110">
        <v>700</v>
      </c>
      <c r="E39" s="110">
        <v>9500</v>
      </c>
      <c r="F39" s="110">
        <f>D39*E39</f>
        <v>6650000</v>
      </c>
      <c r="G39" s="110"/>
      <c r="H39" s="110"/>
      <c r="I39" s="110">
        <f>G39*H39</f>
        <v>0</v>
      </c>
      <c r="J39" s="110"/>
      <c r="K39" s="110">
        <f t="shared" ref="K39:K42" si="5">J39-I39</f>
        <v>0</v>
      </c>
      <c r="L39" t="s">
        <v>65</v>
      </c>
    </row>
    <row r="40" spans="1:12">
      <c r="A40" s="100" t="s">
        <v>64</v>
      </c>
      <c r="B40" s="100" t="s">
        <v>17</v>
      </c>
      <c r="C40" s="100" t="s">
        <v>9</v>
      </c>
      <c r="D40" s="110">
        <v>1050</v>
      </c>
      <c r="E40" s="110">
        <v>8500</v>
      </c>
      <c r="F40" s="110">
        <f>D40*E40</f>
        <v>8925000</v>
      </c>
      <c r="G40" s="110"/>
      <c r="H40" s="110"/>
      <c r="I40" s="110">
        <f>G40*H40</f>
        <v>0</v>
      </c>
      <c r="J40" s="110"/>
      <c r="K40" s="110">
        <f t="shared" si="5"/>
        <v>0</v>
      </c>
      <c r="L40" t="s">
        <v>65</v>
      </c>
    </row>
    <row r="41" spans="1:12">
      <c r="A41" s="102" t="s">
        <v>49</v>
      </c>
      <c r="B41" s="102" t="s">
        <v>31</v>
      </c>
      <c r="C41" s="102" t="s">
        <v>50</v>
      </c>
      <c r="D41" s="108">
        <v>100.16</v>
      </c>
      <c r="E41" s="108">
        <v>3000</v>
      </c>
      <c r="F41" s="108">
        <v>300480</v>
      </c>
      <c r="G41" s="108">
        <v>100.16</v>
      </c>
      <c r="H41" s="108">
        <v>3000</v>
      </c>
      <c r="I41" s="108">
        <v>223074</v>
      </c>
      <c r="J41" s="108">
        <v>223074</v>
      </c>
      <c r="K41" s="108">
        <f t="shared" si="5"/>
        <v>0</v>
      </c>
    </row>
    <row r="42" spans="1:12">
      <c r="A42" s="102" t="s">
        <v>49</v>
      </c>
      <c r="B42" s="102" t="s">
        <v>17</v>
      </c>
      <c r="C42" s="102" t="s">
        <v>50</v>
      </c>
      <c r="D42" s="108">
        <v>70.53</v>
      </c>
      <c r="E42" s="108">
        <v>3000</v>
      </c>
      <c r="F42" s="108">
        <v>211590</v>
      </c>
      <c r="G42" s="108">
        <v>70.685000000000002</v>
      </c>
      <c r="H42" s="108">
        <v>2560</v>
      </c>
      <c r="I42" s="108">
        <v>211590</v>
      </c>
      <c r="J42" s="108">
        <v>211590</v>
      </c>
      <c r="K42" s="108">
        <f t="shared" si="5"/>
        <v>0</v>
      </c>
    </row>
    <row r="43" spans="1:12" ht="60">
      <c r="A43" s="103" t="s">
        <v>67</v>
      </c>
      <c r="B43" s="102" t="s">
        <v>31</v>
      </c>
      <c r="C43" s="102" t="s">
        <v>10</v>
      </c>
      <c r="D43" s="108">
        <v>2000</v>
      </c>
      <c r="E43" s="108">
        <v>8600</v>
      </c>
      <c r="F43" s="108">
        <f t="shared" ref="F43:F48" si="6">D43*E43</f>
        <v>17200000</v>
      </c>
      <c r="G43" s="108">
        <v>1864.72</v>
      </c>
      <c r="H43" s="108">
        <v>8600</v>
      </c>
      <c r="I43" s="108">
        <f t="shared" ref="I43:I48" si="7">G43*H43</f>
        <v>16036592</v>
      </c>
      <c r="J43" s="108">
        <v>16036592</v>
      </c>
      <c r="K43" s="108">
        <f t="shared" ref="K43:K44" si="8">J43-I43</f>
        <v>0</v>
      </c>
    </row>
    <row r="44" spans="1:12">
      <c r="A44" s="102" t="s">
        <v>68</v>
      </c>
      <c r="B44" s="102" t="s">
        <v>31</v>
      </c>
      <c r="C44" s="102" t="s">
        <v>10</v>
      </c>
      <c r="D44" s="108">
        <v>606</v>
      </c>
      <c r="E44" s="108">
        <v>8300</v>
      </c>
      <c r="F44" s="108">
        <f t="shared" si="6"/>
        <v>5029800</v>
      </c>
      <c r="G44" s="108">
        <v>585.5</v>
      </c>
      <c r="H44" s="108">
        <f>I44/G44</f>
        <v>8302.8351836037582</v>
      </c>
      <c r="I44" s="108">
        <v>4861310</v>
      </c>
      <c r="J44" s="108">
        <f>I44</f>
        <v>4861310</v>
      </c>
      <c r="K44" s="108">
        <f t="shared" si="8"/>
        <v>0</v>
      </c>
    </row>
    <row r="45" spans="1:12">
      <c r="A45" s="102" t="s">
        <v>49</v>
      </c>
      <c r="B45" s="102" t="s">
        <v>17</v>
      </c>
      <c r="C45" s="102" t="s">
        <v>75</v>
      </c>
      <c r="D45" s="108">
        <v>88.64</v>
      </c>
      <c r="E45" s="108">
        <v>8000</v>
      </c>
      <c r="F45" s="108">
        <f t="shared" si="6"/>
        <v>709120</v>
      </c>
      <c r="G45" s="108">
        <v>68.64</v>
      </c>
      <c r="H45" s="108">
        <v>2563</v>
      </c>
      <c r="I45" s="108">
        <f t="shared" si="7"/>
        <v>175924.32</v>
      </c>
      <c r="J45" s="108">
        <f>I45</f>
        <v>175924.32</v>
      </c>
      <c r="K45" s="108">
        <f>J45-I45</f>
        <v>0</v>
      </c>
    </row>
    <row r="46" spans="1:12">
      <c r="A46" s="102" t="s">
        <v>49</v>
      </c>
      <c r="B46" s="102" t="s">
        <v>31</v>
      </c>
      <c r="C46" s="102" t="s">
        <v>69</v>
      </c>
      <c r="D46" s="108">
        <v>55.667999999999999</v>
      </c>
      <c r="E46" s="108">
        <v>3000</v>
      </c>
      <c r="F46" s="108">
        <f t="shared" si="6"/>
        <v>167004</v>
      </c>
      <c r="G46" s="108">
        <v>55.667999999999999</v>
      </c>
      <c r="H46" s="108">
        <v>3000</v>
      </c>
      <c r="I46" s="108">
        <v>162960</v>
      </c>
      <c r="J46" s="108">
        <f>I46</f>
        <v>162960</v>
      </c>
      <c r="K46" s="108">
        <f>J46-I46</f>
        <v>0</v>
      </c>
    </row>
    <row r="47" spans="1:12">
      <c r="A47" s="102" t="s">
        <v>68</v>
      </c>
      <c r="B47" s="102" t="s">
        <v>31</v>
      </c>
      <c r="C47" s="102" t="s">
        <v>69</v>
      </c>
      <c r="D47" s="108">
        <v>93.16</v>
      </c>
      <c r="E47" s="108">
        <v>8300</v>
      </c>
      <c r="F47" s="108">
        <f t="shared" si="6"/>
        <v>773228</v>
      </c>
      <c r="G47" s="108">
        <v>90.06</v>
      </c>
      <c r="H47" s="108">
        <v>8300</v>
      </c>
      <c r="I47" s="108">
        <f t="shared" si="7"/>
        <v>747498</v>
      </c>
      <c r="J47" s="108">
        <v>747498</v>
      </c>
      <c r="K47" s="108">
        <f t="shared" ref="K47:K48" si="9">J47-I47</f>
        <v>0</v>
      </c>
    </row>
    <row r="48" spans="1:12">
      <c r="A48" s="102" t="s">
        <v>77</v>
      </c>
      <c r="B48" s="102" t="s">
        <v>17</v>
      </c>
      <c r="C48" s="102" t="s">
        <v>75</v>
      </c>
      <c r="D48" s="108">
        <v>218</v>
      </c>
      <c r="E48" s="108">
        <v>7300</v>
      </c>
      <c r="F48" s="108">
        <f t="shared" si="6"/>
        <v>1591400</v>
      </c>
      <c r="G48" s="108">
        <v>216.88</v>
      </c>
      <c r="H48" s="108">
        <v>7300</v>
      </c>
      <c r="I48" s="108">
        <f t="shared" si="7"/>
        <v>1583224</v>
      </c>
      <c r="J48" s="108">
        <v>1583224</v>
      </c>
      <c r="K48" s="108">
        <f t="shared" si="9"/>
        <v>0</v>
      </c>
    </row>
    <row r="49" spans="1:11">
      <c r="A49" s="104"/>
      <c r="B49" s="104"/>
      <c r="C49" s="104"/>
      <c r="D49" s="111"/>
      <c r="E49" s="111"/>
      <c r="F49" s="111"/>
      <c r="G49" s="111"/>
      <c r="H49" s="111"/>
      <c r="I49" s="111"/>
      <c r="J49" s="111">
        <f>SUM(J37:J48)</f>
        <v>35528572.32</v>
      </c>
      <c r="K49" s="111"/>
    </row>
    <row r="50" spans="1:11">
      <c r="A50" s="104"/>
      <c r="B50" s="104"/>
      <c r="C50" s="104"/>
      <c r="D50" s="111"/>
      <c r="E50" s="111"/>
      <c r="F50" s="111"/>
      <c r="G50" s="111"/>
      <c r="H50" s="111"/>
      <c r="I50" s="111"/>
      <c r="J50" s="111"/>
      <c r="K50" s="111"/>
    </row>
    <row r="51" spans="1:11">
      <c r="A51" s="104"/>
      <c r="B51" s="104"/>
      <c r="C51" s="104"/>
      <c r="D51" s="111"/>
      <c r="E51" s="111"/>
      <c r="F51" s="111"/>
      <c r="G51" s="111"/>
      <c r="H51" s="111"/>
      <c r="I51" s="111"/>
      <c r="J51" s="111"/>
      <c r="K51" s="111"/>
    </row>
    <row r="53" spans="1:11">
      <c r="A53" t="s">
        <v>1</v>
      </c>
      <c r="B53" t="s">
        <v>59</v>
      </c>
      <c r="C53" t="s">
        <v>56</v>
      </c>
      <c r="D53" t="s">
        <v>38</v>
      </c>
      <c r="E53" t="s">
        <v>60</v>
      </c>
    </row>
    <row r="54" spans="1:11">
      <c r="A54" s="68"/>
      <c r="B54" s="73" t="s">
        <v>54</v>
      </c>
      <c r="C54" s="68"/>
      <c r="D54" s="68"/>
      <c r="E54" s="68"/>
    </row>
    <row r="55" spans="1:11" ht="45">
      <c r="A55" s="77" t="s">
        <v>51</v>
      </c>
      <c r="B55" s="72" t="s">
        <v>53</v>
      </c>
      <c r="C55" s="72" t="s">
        <v>56</v>
      </c>
      <c r="D55" s="72" t="s">
        <v>57</v>
      </c>
      <c r="E55" s="72" t="s">
        <v>58</v>
      </c>
    </row>
    <row r="56" spans="1:11">
      <c r="A56" s="74" t="s">
        <v>31</v>
      </c>
      <c r="B56" s="75">
        <v>3454.9879999999998</v>
      </c>
      <c r="C56" s="75">
        <v>28450512</v>
      </c>
      <c r="D56" s="75">
        <v>3296.1080000000002</v>
      </c>
      <c r="E56" s="75">
        <v>27011434</v>
      </c>
    </row>
    <row r="57" spans="1:11">
      <c r="A57" s="76" t="s">
        <v>10</v>
      </c>
      <c r="B57" s="75">
        <v>3206</v>
      </c>
      <c r="C57" s="75">
        <v>27209800</v>
      </c>
      <c r="D57" s="75">
        <v>3050.2200000000003</v>
      </c>
      <c r="E57" s="75">
        <v>25877902</v>
      </c>
    </row>
    <row r="58" spans="1:11">
      <c r="A58" s="76" t="s">
        <v>50</v>
      </c>
      <c r="B58" s="75">
        <v>100.16</v>
      </c>
      <c r="C58" s="75">
        <v>300480</v>
      </c>
      <c r="D58" s="75">
        <v>100.16</v>
      </c>
      <c r="E58" s="75">
        <v>223074</v>
      </c>
    </row>
    <row r="59" spans="1:11">
      <c r="A59" s="76" t="s">
        <v>69</v>
      </c>
      <c r="B59" s="75">
        <v>148.828</v>
      </c>
      <c r="C59" s="75">
        <v>940232</v>
      </c>
      <c r="D59" s="75">
        <v>145.72800000000001</v>
      </c>
      <c r="E59" s="75">
        <v>910458</v>
      </c>
    </row>
    <row r="60" spans="1:11">
      <c r="A60" s="74" t="s">
        <v>17</v>
      </c>
      <c r="B60" s="75">
        <v>2947.17</v>
      </c>
      <c r="C60" s="75">
        <v>24647110</v>
      </c>
      <c r="D60" s="75">
        <v>1174.5049999999999</v>
      </c>
      <c r="E60" s="75">
        <v>8517138.3200000003</v>
      </c>
    </row>
    <row r="61" spans="1:11">
      <c r="A61" s="76" t="s">
        <v>9</v>
      </c>
      <c r="B61" s="75">
        <v>2570</v>
      </c>
      <c r="C61" s="75">
        <v>22135000</v>
      </c>
      <c r="D61" s="75">
        <v>818.3</v>
      </c>
      <c r="E61" s="75">
        <v>6546400</v>
      </c>
    </row>
    <row r="62" spans="1:11">
      <c r="A62" s="76" t="s">
        <v>50</v>
      </c>
      <c r="B62" s="75">
        <v>70.53</v>
      </c>
      <c r="C62" s="75">
        <v>211590</v>
      </c>
      <c r="D62" s="75">
        <v>70.685000000000002</v>
      </c>
      <c r="E62" s="75">
        <v>211590</v>
      </c>
    </row>
    <row r="63" spans="1:11">
      <c r="A63" s="76" t="s">
        <v>75</v>
      </c>
      <c r="B63" s="75">
        <v>306.64</v>
      </c>
      <c r="C63" s="75">
        <v>2300520</v>
      </c>
      <c r="D63" s="75">
        <v>285.52</v>
      </c>
      <c r="E63" s="75">
        <v>1759148.32</v>
      </c>
    </row>
    <row r="64" spans="1:11">
      <c r="A64" s="74" t="s">
        <v>52</v>
      </c>
      <c r="B64" s="75">
        <v>6402.1579999999994</v>
      </c>
      <c r="C64" s="75">
        <v>53097622</v>
      </c>
      <c r="D64" s="75">
        <v>4470.6130000000012</v>
      </c>
      <c r="E64" s="75">
        <v>35528572.32</v>
      </c>
      <c r="G64" t="s">
        <v>78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СП Дон</vt:lpstr>
      <vt:lpstr>Зерновой дом</vt:lpstr>
      <vt:lpstr>Лист1</vt:lpstr>
      <vt:lpstr>Лист2</vt:lpstr>
      <vt:lpstr>Лист3</vt:lpstr>
      <vt:lpstr>Реализация по договорам</vt:lpstr>
      <vt:lpstr>'Зерновой дом'!Область_печати</vt:lpstr>
      <vt:lpstr>'СП Дон'!Область_печати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Решенина</cp:lastModifiedBy>
  <cp:lastPrinted>2017-04-19T13:02:15Z</cp:lastPrinted>
  <dcterms:created xsi:type="dcterms:W3CDTF">2014-10-31T14:06:24Z</dcterms:created>
  <dcterms:modified xsi:type="dcterms:W3CDTF">2017-04-28T11:23:59Z</dcterms:modified>
</cp:coreProperties>
</file>