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990" windowWidth="12120" windowHeight="7995" tabRatio="712" firstSheet="2" activeTab="2"/>
  </bookViews>
  <sheets>
    <sheet name="ОНО 0116" sheetId="1" r:id="rId1"/>
    <sheet name="ОНО 0216" sheetId="2" r:id="rId2"/>
    <sheet name="ОНО 0916  " sheetId="3" r:id="rId3"/>
  </sheets>
  <definedNames>
    <definedName name="_xlnm.Print_Titles" localSheetId="0">'ОНО 0116'!$5:$7</definedName>
    <definedName name="_xlnm.Print_Titles" localSheetId="1">'ОНО 0216'!$5:$7</definedName>
    <definedName name="_xlnm.Print_Titles" localSheetId="2">'ОНО 0916  '!$5:$7</definedName>
    <definedName name="_xlnm.Print_Area" localSheetId="0">'ОНО 0116'!$A$1:$M$36</definedName>
    <definedName name="_xlnm.Print_Area" localSheetId="1">'ОНО 0216'!$A$1:$M$37</definedName>
    <definedName name="_xlnm.Print_Area" localSheetId="2">'ОНО 0916  '!$A$1:$M$21</definedName>
  </definedNames>
  <calcPr fullCalcOnLoad="1"/>
</workbook>
</file>

<file path=xl/comments1.xml><?xml version="1.0" encoding="utf-8"?>
<comments xmlns="http://schemas.openxmlformats.org/spreadsheetml/2006/main">
  <authors>
    <author>081-shavenkova</author>
  </authors>
  <commentList>
    <comment ref="H6" authorId="0">
      <text>
        <r>
          <rPr>
            <b/>
            <sz val="8"/>
            <rFont val="Tahoma"/>
            <family val="2"/>
          </rPr>
          <t>081-shavenkova:</t>
        </r>
        <r>
          <rPr>
            <sz val="8"/>
            <rFont val="Tahoma"/>
            <family val="2"/>
          </rPr>
          <t xml:space="preserve">
сюда пишу всю сумму,т.к. по налоговому учету я должна списывать все сразу</t>
        </r>
      </text>
    </comment>
  </commentList>
</comments>
</file>

<file path=xl/comments2.xml><?xml version="1.0" encoding="utf-8"?>
<comments xmlns="http://schemas.openxmlformats.org/spreadsheetml/2006/main">
  <authors>
    <author>081-shavenkova</author>
  </authors>
  <commentList>
    <comment ref="H6" authorId="0">
      <text>
        <r>
          <rPr>
            <b/>
            <sz val="8"/>
            <rFont val="Tahoma"/>
            <family val="2"/>
          </rPr>
          <t>081-shavenkova:</t>
        </r>
        <r>
          <rPr>
            <sz val="8"/>
            <rFont val="Tahoma"/>
            <family val="2"/>
          </rPr>
          <t xml:space="preserve">
сюда пишу всю сумму,т.к. по налоговому учету я должна списывать все сразу</t>
        </r>
      </text>
    </comment>
  </commentList>
</comments>
</file>

<file path=xl/comments3.xml><?xml version="1.0" encoding="utf-8"?>
<comments xmlns="http://schemas.openxmlformats.org/spreadsheetml/2006/main">
  <authors>
    <author>081-shavenkova</author>
  </authors>
  <commentList>
    <comment ref="H6" authorId="0">
      <text>
        <r>
          <rPr>
            <b/>
            <sz val="8"/>
            <rFont val="Tahoma"/>
            <family val="2"/>
          </rPr>
          <t>081-shavenkova:</t>
        </r>
        <r>
          <rPr>
            <sz val="8"/>
            <rFont val="Tahoma"/>
            <family val="2"/>
          </rPr>
          <t xml:space="preserve">
сюда пишу всю сумму,т.к. по налоговому учету я должна списывать все сразу</t>
        </r>
      </text>
    </comment>
  </commentList>
</comments>
</file>

<file path=xl/sharedStrings.xml><?xml version="1.0" encoding="utf-8"?>
<sst xmlns="http://schemas.openxmlformats.org/spreadsheetml/2006/main" count="169" uniqueCount="53">
  <si>
    <t>Нарастающим итогом с начала периода</t>
  </si>
  <si>
    <t>Бухгалтер _____________Иншакова Н.Н.</t>
  </si>
  <si>
    <t>*Федер.бюджет ( 2,0% )-</t>
  </si>
  <si>
    <t>Бюджет субъекта РФ( 18,0%)-</t>
  </si>
  <si>
    <t>**Федер.бюджет ( 2,0%)-</t>
  </si>
  <si>
    <t>Бюджет субъекта РФ ( 18,0%)-</t>
  </si>
  <si>
    <t>ИТОГО на 20%</t>
  </si>
  <si>
    <t>Д 77/04      К 68</t>
  </si>
  <si>
    <t>По данным бухгалтерского учета</t>
  </si>
  <si>
    <t>По данным налогового учета</t>
  </si>
  <si>
    <t>Разница</t>
  </si>
  <si>
    <t>погашено</t>
  </si>
  <si>
    <t>ИТОГО (с "-")</t>
  </si>
  <si>
    <t>за месяц</t>
  </si>
  <si>
    <t>начислено (гр.6-3)</t>
  </si>
  <si>
    <t>Учет временных (налогооблагаемых) налоговых разниц по расходам будущих периодов</t>
  </si>
  <si>
    <t>Остаток     (гр.7-4) или (гр.8+9-10)</t>
  </si>
  <si>
    <t>Сумма расходов на программ. обеспеч.</t>
  </si>
  <si>
    <t>Программное обеспечение ( счет 97/07 )</t>
  </si>
  <si>
    <t>Наименование расходов будущих периодов, принятых к учету после 01.01.2003г.         (поставщик)</t>
  </si>
  <si>
    <t>Начало списания  (месяц)</t>
  </si>
  <si>
    <t>Остаток (гр.5-4+3)</t>
  </si>
  <si>
    <t>Срок экспл (мес)</t>
  </si>
  <si>
    <t>Д 68      К 77/04</t>
  </si>
  <si>
    <t>("-") для счета 77 "отлож. налог. обязат-ва"</t>
  </si>
  <si>
    <t>ООО"Омегасофтвер Северо-Запад"</t>
  </si>
  <si>
    <t>ООО"РТ-ИНФОРМ"</t>
  </si>
  <si>
    <t>ООО"Новософт развитие"</t>
  </si>
  <si>
    <t>апрель 2015г.</t>
  </si>
  <si>
    <t>АО "НПЦ газотурбостроения"САЛЮТ"</t>
  </si>
  <si>
    <t>ООО"ИНТЕРФОРУМ"</t>
  </si>
  <si>
    <t>июль 2015г.</t>
  </si>
  <si>
    <t>ООО"Икс-ком"</t>
  </si>
  <si>
    <t>июнь 2015</t>
  </si>
  <si>
    <t>сентябрь 2015</t>
  </si>
  <si>
    <t>ООО"АРБАЙТ"</t>
  </si>
  <si>
    <t>октябрь 2015</t>
  </si>
  <si>
    <t>ООО"ЭсДиАй Солюшен"</t>
  </si>
  <si>
    <t>ноябрь 2015</t>
  </si>
  <si>
    <t>декабрь 2015</t>
  </si>
  <si>
    <t>*Начислено ОНО за  ЯНВАРЬ 2016 г. по расходам будущих периодов</t>
  </si>
  <si>
    <t>**Погашено ОНО за ЯНВАРЬ 2016 г. по расходам будущих периодов</t>
  </si>
  <si>
    <t>за ЯНВАРЬ  2016 года</t>
  </si>
  <si>
    <t>ФГУП"ГосНИИАС"</t>
  </si>
  <si>
    <t>за ФЕВРАЛЬ  2016 года</t>
  </si>
  <si>
    <t>*Начислено ОНО за  ФЕВРАЛЬ 2016 г. по расходам будущих периодов</t>
  </si>
  <si>
    <t>**Погашено ОНО за ФЕВРАЛЬ 2016 г. по расходам будущих периодов</t>
  </si>
  <si>
    <t>январь 2016</t>
  </si>
  <si>
    <t>за Сентябрь 2016 года</t>
  </si>
  <si>
    <t>*Начислено ОНО за  СЕНТЯБРЬ 2016 г. по расходам будущих периодов</t>
  </si>
  <si>
    <t>**Погашено ОНО за СЕНТЯБРЬ 2016 г. по расходам будущих периодов</t>
  </si>
  <si>
    <t>ИКС</t>
  </si>
  <si>
    <t>Бухгалтер _____________Иванов И.И..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</si>
</sst>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mmmm\ yy"/>
    <numFmt numFmtId="166" formatCode="mmm\ yy"/>
    <numFmt numFmtId="167" formatCode="#,##0.00;[Red]#,##0.00"/>
    <numFmt numFmtId="168" formatCode="#,##0.000"/>
    <numFmt numFmtId="169" formatCode="#,##0.0"/>
  </numFmts>
  <fonts count="43">
    <font>
      <sz val="10"/>
      <name val="Arial Cyr"/>
      <family val="0"/>
    </font>
    <font>
      <b/>
      <i/>
      <sz val="12"/>
      <name val="Arial Cyr"/>
      <family val="2"/>
    </font>
    <font>
      <i/>
      <sz val="12"/>
      <name val="Arial Cyr"/>
      <family val="2"/>
    </font>
    <font>
      <i/>
      <sz val="10"/>
      <name val="Arial Cyr"/>
      <family val="2"/>
    </font>
    <font>
      <b/>
      <i/>
      <sz val="10"/>
      <name val="Arial Cyr"/>
      <family val="2"/>
    </font>
    <font>
      <u val="single"/>
      <sz val="11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shrinkToFit="1"/>
    </xf>
    <xf numFmtId="4" fontId="0" fillId="0" borderId="11" xfId="0" applyNumberFormat="1" applyBorder="1" applyAlignment="1">
      <alignment shrinkToFit="1"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 shrinkToFit="1"/>
    </xf>
    <xf numFmtId="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4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Border="1" applyAlignment="1">
      <alignment shrinkToFit="1"/>
    </xf>
    <xf numFmtId="4" fontId="0" fillId="0" borderId="12" xfId="0" applyNumberFormat="1" applyBorder="1" applyAlignment="1">
      <alignment/>
    </xf>
    <xf numFmtId="4" fontId="0" fillId="0" borderId="18" xfId="0" applyNumberFormat="1" applyBorder="1" applyAlignment="1">
      <alignment shrinkToFit="1"/>
    </xf>
    <xf numFmtId="49" fontId="0" fillId="0" borderId="11" xfId="0" applyNumberFormat="1" applyFont="1" applyBorder="1" applyAlignment="1">
      <alignment shrinkToFit="1"/>
    </xf>
    <xf numFmtId="1" fontId="0" fillId="0" borderId="11" xfId="0" applyNumberFormat="1" applyBorder="1" applyAlignment="1">
      <alignment shrinkToFit="1"/>
    </xf>
    <xf numFmtId="49" fontId="0" fillId="0" borderId="12" xfId="0" applyNumberFormat="1" applyFont="1" applyBorder="1" applyAlignment="1">
      <alignment shrinkToFit="1"/>
    </xf>
    <xf numFmtId="1" fontId="0" fillId="0" borderId="12" xfId="0" applyNumberFormat="1" applyBorder="1" applyAlignment="1">
      <alignment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18" xfId="0" applyNumberFormat="1" applyBorder="1" applyAlignment="1">
      <alignment horizontal="center" shrinkToFit="1"/>
    </xf>
    <xf numFmtId="4" fontId="0" fillId="0" borderId="18" xfId="0" applyNumberFormat="1" applyBorder="1" applyAlignment="1">
      <alignment horizontal="right" shrinkToFi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 shrinkToFit="1"/>
    </xf>
    <xf numFmtId="4" fontId="0" fillId="0" borderId="18" xfId="0" applyNumberFormat="1" applyFont="1" applyFill="1" applyBorder="1" applyAlignment="1">
      <alignment shrinkToFit="1"/>
    </xf>
    <xf numFmtId="4" fontId="0" fillId="0" borderId="23" xfId="0" applyNumberFormat="1" applyBorder="1" applyAlignment="1">
      <alignment horizontal="center" shrinkToFit="1"/>
    </xf>
    <xf numFmtId="4" fontId="0" fillId="0" borderId="11" xfId="0" applyNumberFormat="1" applyFont="1" applyFill="1" applyBorder="1" applyAlignment="1">
      <alignment horizontal="right" shrinkToFit="1"/>
    </xf>
    <xf numFmtId="4" fontId="0" fillId="0" borderId="12" xfId="0" applyNumberFormat="1" applyFont="1" applyFill="1" applyBorder="1" applyAlignment="1">
      <alignment horizontal="right" shrinkToFit="1"/>
    </xf>
    <xf numFmtId="1" fontId="0" fillId="33" borderId="24" xfId="0" applyNumberFormat="1" applyFill="1" applyBorder="1" applyAlignment="1">
      <alignment shrinkToFit="1"/>
    </xf>
    <xf numFmtId="4" fontId="0" fillId="33" borderId="24" xfId="0" applyNumberFormat="1" applyFill="1" applyBorder="1" applyAlignment="1">
      <alignment/>
    </xf>
    <xf numFmtId="4" fontId="0" fillId="33" borderId="24" xfId="0" applyNumberFormat="1" applyFont="1" applyFill="1" applyBorder="1" applyAlignment="1">
      <alignment shrinkToFit="1"/>
    </xf>
    <xf numFmtId="4" fontId="0" fillId="33" borderId="24" xfId="0" applyNumberFormat="1" applyFill="1" applyBorder="1" applyAlignment="1">
      <alignment shrinkToFit="1"/>
    </xf>
    <xf numFmtId="4" fontId="0" fillId="33" borderId="25" xfId="0" applyNumberFormat="1" applyFont="1" applyFill="1" applyBorder="1" applyAlignment="1">
      <alignment shrinkToFit="1"/>
    </xf>
    <xf numFmtId="1" fontId="0" fillId="33" borderId="11" xfId="0" applyNumberFormat="1" applyFill="1" applyBorder="1" applyAlignment="1">
      <alignment shrinkToFit="1"/>
    </xf>
    <xf numFmtId="4" fontId="0" fillId="33" borderId="11" xfId="0" applyNumberFormat="1" applyFill="1" applyBorder="1" applyAlignment="1">
      <alignment/>
    </xf>
    <xf numFmtId="4" fontId="0" fillId="33" borderId="11" xfId="0" applyNumberFormat="1" applyFont="1" applyFill="1" applyBorder="1" applyAlignment="1">
      <alignment shrinkToFit="1"/>
    </xf>
    <xf numFmtId="4" fontId="0" fillId="33" borderId="11" xfId="0" applyNumberFormat="1" applyFill="1" applyBorder="1" applyAlignment="1">
      <alignment shrinkToFit="1"/>
    </xf>
    <xf numFmtId="4" fontId="0" fillId="33" borderId="26" xfId="0" applyNumberFormat="1" applyFont="1" applyFill="1" applyBorder="1" applyAlignment="1">
      <alignment shrinkToFit="1"/>
    </xf>
    <xf numFmtId="4" fontId="0" fillId="33" borderId="12" xfId="0" applyNumberFormat="1" applyFill="1" applyBorder="1" applyAlignment="1">
      <alignment/>
    </xf>
    <xf numFmtId="4" fontId="0" fillId="33" borderId="27" xfId="0" applyNumberFormat="1" applyFont="1" applyFill="1" applyBorder="1" applyAlignment="1">
      <alignment shrinkToFi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4" fontId="0" fillId="33" borderId="27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 shrinkToFit="1"/>
    </xf>
    <xf numFmtId="49" fontId="0" fillId="0" borderId="27" xfId="0" applyNumberFormat="1" applyFont="1" applyBorder="1" applyAlignment="1">
      <alignment shrinkToFit="1"/>
    </xf>
    <xf numFmtId="1" fontId="0" fillId="0" borderId="27" xfId="0" applyNumberFormat="1" applyBorder="1" applyAlignment="1">
      <alignment shrinkToFit="1"/>
    </xf>
    <xf numFmtId="4" fontId="0" fillId="0" borderId="27" xfId="0" applyNumberFormat="1" applyBorder="1" applyAlignment="1">
      <alignment/>
    </xf>
    <xf numFmtId="4" fontId="0" fillId="0" borderId="27" xfId="0" applyNumberFormat="1" applyFont="1" applyFill="1" applyBorder="1" applyAlignment="1">
      <alignment horizontal="right" shrinkToFit="1"/>
    </xf>
    <xf numFmtId="4" fontId="0" fillId="0" borderId="27" xfId="0" applyNumberFormat="1" applyBorder="1" applyAlignment="1">
      <alignment shrinkToFit="1"/>
    </xf>
    <xf numFmtId="4" fontId="0" fillId="33" borderId="33" xfId="0" applyNumberFormat="1" applyFont="1" applyFill="1" applyBorder="1" applyAlignment="1">
      <alignment shrinkToFit="1"/>
    </xf>
    <xf numFmtId="49" fontId="0" fillId="0" borderId="10" xfId="0" applyNumberFormat="1" applyFont="1" applyBorder="1" applyAlignment="1">
      <alignment shrinkToFit="1"/>
    </xf>
    <xf numFmtId="49" fontId="0" fillId="0" borderId="17" xfId="0" applyNumberFormat="1" applyFont="1" applyBorder="1" applyAlignment="1">
      <alignment shrinkToFit="1"/>
    </xf>
    <xf numFmtId="0" fontId="0" fillId="34" borderId="0" xfId="0" applyFill="1" applyBorder="1" applyAlignment="1">
      <alignment/>
    </xf>
    <xf numFmtId="0" fontId="0" fillId="33" borderId="34" xfId="0" applyFill="1" applyBorder="1" applyAlignment="1">
      <alignment shrinkToFit="1"/>
    </xf>
    <xf numFmtId="49" fontId="0" fillId="33" borderId="10" xfId="0" applyNumberFormat="1" applyFont="1" applyFill="1" applyBorder="1" applyAlignment="1">
      <alignment shrinkToFit="1"/>
    </xf>
    <xf numFmtId="0" fontId="0" fillId="33" borderId="35" xfId="0" applyFill="1" applyBorder="1" applyAlignment="1">
      <alignment shrinkToFit="1"/>
    </xf>
    <xf numFmtId="0" fontId="0" fillId="33" borderId="36" xfId="0" applyFill="1" applyBorder="1" applyAlignment="1">
      <alignment shrinkToFit="1"/>
    </xf>
    <xf numFmtId="0" fontId="0" fillId="0" borderId="37" xfId="0" applyBorder="1" applyAlignment="1">
      <alignment shrinkToFit="1"/>
    </xf>
    <xf numFmtId="49" fontId="0" fillId="33" borderId="38" xfId="0" applyNumberFormat="1" applyFont="1" applyFill="1" applyBorder="1" applyAlignment="1">
      <alignment shrinkToFit="1"/>
    </xf>
    <xf numFmtId="4" fontId="0" fillId="34" borderId="12" xfId="0" applyNumberFormat="1" applyFont="1" applyFill="1" applyBorder="1" applyAlignment="1">
      <alignment horizontal="right" shrinkToFit="1"/>
    </xf>
    <xf numFmtId="4" fontId="0" fillId="34" borderId="39" xfId="0" applyNumberFormat="1" applyFont="1" applyFill="1" applyBorder="1" applyAlignment="1">
      <alignment shrinkToFit="1"/>
    </xf>
    <xf numFmtId="4" fontId="0" fillId="34" borderId="11" xfId="0" applyNumberFormat="1" applyFont="1" applyFill="1" applyBorder="1" applyAlignment="1">
      <alignment horizontal="right" shrinkToFit="1"/>
    </xf>
    <xf numFmtId="4" fontId="0" fillId="34" borderId="26" xfId="0" applyNumberFormat="1" applyFont="1" applyFill="1" applyBorder="1" applyAlignment="1">
      <alignment shrinkToFit="1"/>
    </xf>
    <xf numFmtId="4" fontId="0" fillId="34" borderId="24" xfId="0" applyNumberFormat="1" applyFont="1" applyFill="1" applyBorder="1" applyAlignment="1">
      <alignment horizontal="right" shrinkToFit="1"/>
    </xf>
    <xf numFmtId="4" fontId="0" fillId="0" borderId="25" xfId="0" applyNumberFormat="1" applyFont="1" applyFill="1" applyBorder="1" applyAlignment="1">
      <alignment shrinkToFit="1"/>
    </xf>
    <xf numFmtId="4" fontId="0" fillId="0" borderId="26" xfId="0" applyNumberFormat="1" applyFont="1" applyFill="1" applyBorder="1" applyAlignment="1">
      <alignment shrinkToFit="1"/>
    </xf>
    <xf numFmtId="49" fontId="0" fillId="33" borderId="11" xfId="0" applyNumberFormat="1" applyFont="1" applyFill="1" applyBorder="1" applyAlignment="1">
      <alignment shrinkToFit="1"/>
    </xf>
    <xf numFmtId="0" fontId="0" fillId="0" borderId="40" xfId="0" applyBorder="1" applyAlignment="1">
      <alignment shrinkToFit="1"/>
    </xf>
    <xf numFmtId="0" fontId="0" fillId="33" borderId="38" xfId="0" applyFill="1" applyBorder="1" applyAlignment="1">
      <alignment shrinkToFit="1"/>
    </xf>
    <xf numFmtId="49" fontId="0" fillId="33" borderId="24" xfId="0" applyNumberFormat="1" applyFont="1" applyFill="1" applyBorder="1" applyAlignment="1">
      <alignment shrinkToFit="1"/>
    </xf>
    <xf numFmtId="0" fontId="0" fillId="33" borderId="10" xfId="0" applyFill="1" applyBorder="1" applyAlignment="1">
      <alignment shrinkToFit="1"/>
    </xf>
    <xf numFmtId="4" fontId="0" fillId="33" borderId="39" xfId="0" applyNumberFormat="1" applyFont="1" applyFill="1" applyBorder="1" applyAlignment="1">
      <alignment shrinkToFit="1"/>
    </xf>
    <xf numFmtId="4" fontId="0" fillId="33" borderId="18" xfId="0" applyNumberFormat="1" applyFill="1" applyBorder="1" applyAlignment="1">
      <alignment/>
    </xf>
    <xf numFmtId="0" fontId="0" fillId="33" borderId="41" xfId="0" applyFill="1" applyBorder="1" applyAlignment="1">
      <alignment shrinkToFit="1"/>
    </xf>
    <xf numFmtId="0" fontId="0" fillId="33" borderId="42" xfId="0" applyFill="1" applyBorder="1" applyAlignment="1">
      <alignment shrinkToFit="1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4" fontId="0" fillId="0" borderId="39" xfId="0" applyNumberFormat="1" applyFont="1" applyFill="1" applyBorder="1" applyAlignment="1">
      <alignment shrinkToFit="1"/>
    </xf>
    <xf numFmtId="4" fontId="0" fillId="0" borderId="23" xfId="0" applyNumberFormat="1" applyFont="1" applyFill="1" applyBorder="1" applyAlignment="1">
      <alignment shrinkToFit="1"/>
    </xf>
    <xf numFmtId="0" fontId="1" fillId="0" borderId="0" xfId="0" applyFont="1" applyAlignment="1">
      <alignment horizontal="center"/>
    </xf>
    <xf numFmtId="0" fontId="0" fillId="0" borderId="3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44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3" fillId="0" borderId="44" xfId="0" applyFont="1" applyBorder="1" applyAlignment="1">
      <alignment horizontal="left" shrinkToFit="1"/>
    </xf>
    <xf numFmtId="0" fontId="3" fillId="0" borderId="0" xfId="0" applyFont="1" applyBorder="1" applyAlignment="1">
      <alignment horizontal="left" shrinkToFit="1"/>
    </xf>
    <xf numFmtId="4" fontId="4" fillId="0" borderId="0" xfId="0" applyNumberFormat="1" applyFont="1" applyAlignment="1">
      <alignment horizontal="center" shrinkToFit="1"/>
    </xf>
    <xf numFmtId="0" fontId="0" fillId="0" borderId="0" xfId="0" applyAlignment="1">
      <alignment horizontal="center" shrinkToFit="1"/>
    </xf>
    <xf numFmtId="49" fontId="0" fillId="0" borderId="0" xfId="0" applyNumberFormat="1" applyAlignment="1">
      <alignment horizontal="center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view="pageBreakPreview" zoomScaleSheetLayoutView="100" workbookViewId="0" topLeftCell="B7">
      <selection activeCell="E22" sqref="E22"/>
    </sheetView>
  </sheetViews>
  <sheetFormatPr defaultColWidth="9.00390625" defaultRowHeight="12.75"/>
  <cols>
    <col min="1" max="1" width="16.375" style="0" customWidth="1"/>
    <col min="2" max="2" width="7.875" style="0" customWidth="1"/>
    <col min="3" max="3" width="5.25390625" style="0" customWidth="1"/>
    <col min="4" max="4" width="12.875" style="0" customWidth="1"/>
    <col min="5" max="5" width="10.25390625" style="14" customWidth="1"/>
    <col min="6" max="6" width="10.875" style="0" customWidth="1"/>
    <col min="7" max="7" width="15.625" style="0" customWidth="1"/>
    <col min="8" max="8" width="11.75390625" style="0" bestFit="1" customWidth="1"/>
    <col min="9" max="9" width="12.125" style="0" customWidth="1"/>
    <col min="10" max="10" width="12.75390625" style="0" bestFit="1" customWidth="1"/>
    <col min="11" max="11" width="12.75390625" style="0" customWidth="1"/>
    <col min="12" max="12" width="11.75390625" style="0" bestFit="1" customWidth="1"/>
    <col min="13" max="13" width="11.875" style="0" customWidth="1"/>
    <col min="14" max="16384" width="9.125" style="10" customWidth="1"/>
  </cols>
  <sheetData>
    <row r="1" spans="1:2" ht="19.5" customHeight="1" thickBot="1">
      <c r="A1" s="8" t="s">
        <v>29</v>
      </c>
      <c r="B1" s="9"/>
    </row>
    <row r="2" spans="3:13" ht="15.75">
      <c r="C2" s="90" t="s">
        <v>15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6:9" ht="17.25" customHeight="1">
      <c r="F3" s="90" t="s">
        <v>42</v>
      </c>
      <c r="G3" s="90"/>
      <c r="H3" s="90"/>
      <c r="I3" s="90"/>
    </row>
    <row r="4" spans="1:3" ht="15.75" thickBot="1">
      <c r="A4" s="1" t="s">
        <v>18</v>
      </c>
      <c r="B4" s="1"/>
      <c r="C4" s="1"/>
    </row>
    <row r="5" spans="1:13" ht="12.75">
      <c r="A5" s="91" t="s">
        <v>19</v>
      </c>
      <c r="B5" s="94" t="s">
        <v>20</v>
      </c>
      <c r="C5" s="94" t="s">
        <v>22</v>
      </c>
      <c r="D5" s="94" t="s">
        <v>8</v>
      </c>
      <c r="E5" s="94"/>
      <c r="F5" s="94"/>
      <c r="G5" s="94" t="s">
        <v>9</v>
      </c>
      <c r="H5" s="94"/>
      <c r="I5" s="94"/>
      <c r="J5" s="94" t="s">
        <v>10</v>
      </c>
      <c r="K5" s="94"/>
      <c r="L5" s="94"/>
      <c r="M5" s="97"/>
    </row>
    <row r="6" spans="1:13" ht="12.75">
      <c r="A6" s="92"/>
      <c r="B6" s="95"/>
      <c r="C6" s="95"/>
      <c r="D6" s="95" t="s">
        <v>17</v>
      </c>
      <c r="E6" s="98" t="s">
        <v>13</v>
      </c>
      <c r="F6" s="95" t="s">
        <v>0</v>
      </c>
      <c r="G6" s="95" t="s">
        <v>17</v>
      </c>
      <c r="H6" s="95" t="s">
        <v>13</v>
      </c>
      <c r="I6" s="95" t="s">
        <v>0</v>
      </c>
      <c r="J6" s="95" t="s">
        <v>24</v>
      </c>
      <c r="K6" s="95"/>
      <c r="L6" s="95"/>
      <c r="M6" s="101"/>
    </row>
    <row r="7" spans="1:13" ht="52.5" customHeight="1" thickBot="1">
      <c r="A7" s="93"/>
      <c r="B7" s="96"/>
      <c r="C7" s="96"/>
      <c r="D7" s="96"/>
      <c r="E7" s="99"/>
      <c r="F7" s="96"/>
      <c r="G7" s="96"/>
      <c r="H7" s="96"/>
      <c r="I7" s="100"/>
      <c r="J7" s="45" t="s">
        <v>21</v>
      </c>
      <c r="K7" s="45" t="s">
        <v>14</v>
      </c>
      <c r="L7" s="45" t="s">
        <v>11</v>
      </c>
      <c r="M7" s="46" t="s">
        <v>16</v>
      </c>
    </row>
    <row r="8" spans="1:13" ht="13.5" thickBot="1">
      <c r="A8" s="47">
        <v>1</v>
      </c>
      <c r="B8" s="48"/>
      <c r="C8" s="48"/>
      <c r="D8" s="48">
        <v>2</v>
      </c>
      <c r="E8" s="49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50">
        <v>11</v>
      </c>
    </row>
    <row r="9" spans="1:13" ht="12.75">
      <c r="A9" s="64" t="s">
        <v>27</v>
      </c>
      <c r="B9" s="67" t="s">
        <v>28</v>
      </c>
      <c r="C9" s="33">
        <v>12</v>
      </c>
      <c r="D9" s="34">
        <v>234000</v>
      </c>
      <c r="E9" s="72">
        <f>19500</f>
        <v>19500</v>
      </c>
      <c r="F9" s="35">
        <f>E9+214500</f>
        <v>234000</v>
      </c>
      <c r="G9" s="34">
        <f>D9</f>
        <v>234000</v>
      </c>
      <c r="H9" s="36"/>
      <c r="I9" s="36">
        <f>G9</f>
        <v>234000</v>
      </c>
      <c r="J9" s="34">
        <v>19500</v>
      </c>
      <c r="K9" s="34" t="str">
        <f aca="true" t="shared" si="0" ref="K9:K21">IF((M9=" ")," ",IF((E9-H9)&lt;0,(H9-E9)," "))</f>
        <v> </v>
      </c>
      <c r="L9" s="34">
        <f>IF((I9-H9-F9+E9)&lt;(I9-F9)," ",(E9-H9))</f>
        <v>19500</v>
      </c>
      <c r="M9" s="37" t="str">
        <f>IF((F9-I9)&lt;0,(I9-F9)," ")</f>
        <v> </v>
      </c>
    </row>
    <row r="10" spans="1:13" s="61" customFormat="1" ht="12.75">
      <c r="A10" s="62" t="s">
        <v>25</v>
      </c>
      <c r="B10" s="63" t="s">
        <v>28</v>
      </c>
      <c r="C10" s="38">
        <v>12</v>
      </c>
      <c r="D10" s="39">
        <v>2100000</v>
      </c>
      <c r="E10" s="70">
        <v>175000</v>
      </c>
      <c r="F10" s="40">
        <f>E10+1575000</f>
        <v>1750000</v>
      </c>
      <c r="G10" s="39">
        <f>D10</f>
        <v>2100000</v>
      </c>
      <c r="H10" s="41"/>
      <c r="I10" s="41">
        <f>G10</f>
        <v>2100000</v>
      </c>
      <c r="J10" s="39">
        <v>525000</v>
      </c>
      <c r="K10" s="39" t="str">
        <f t="shared" si="0"/>
        <v> </v>
      </c>
      <c r="L10" s="39">
        <f>IF((I10-H10-F10+E10)&lt;(I10-F10)," ",(E10-H10))</f>
        <v>175000</v>
      </c>
      <c r="M10" s="71">
        <f>IF((F10-I10)&lt;0,(I10-F10)," ")</f>
        <v>350000</v>
      </c>
    </row>
    <row r="11" spans="1:13" ht="12.75">
      <c r="A11" s="62" t="s">
        <v>30</v>
      </c>
      <c r="B11" s="63" t="s">
        <v>31</v>
      </c>
      <c r="C11" s="38">
        <v>12</v>
      </c>
      <c r="D11" s="39">
        <v>6800</v>
      </c>
      <c r="E11" s="70">
        <v>566.67</v>
      </c>
      <c r="F11" s="40">
        <f>E11+4533.36</f>
        <v>5100.03</v>
      </c>
      <c r="G11" s="39">
        <f aca="true" t="shared" si="1" ref="G11:G29">D11</f>
        <v>6800</v>
      </c>
      <c r="H11" s="41"/>
      <c r="I11" s="41">
        <f aca="true" t="shared" si="2" ref="I11:I29">G11</f>
        <v>6800</v>
      </c>
      <c r="J11" s="39">
        <v>2266.64</v>
      </c>
      <c r="K11" s="39" t="str">
        <f t="shared" si="0"/>
        <v> </v>
      </c>
      <c r="L11" s="39">
        <f aca="true" t="shared" si="3" ref="L11:L24">IF((I11-H11-F11+E11)&lt;(I11-F11)," ",(E11-H11))</f>
        <v>566.67</v>
      </c>
      <c r="M11" s="71">
        <f aca="true" t="shared" si="4" ref="M11:M24">IF((F11-I11)&lt;0,(I11-F11)," ")</f>
        <v>1699.9700000000003</v>
      </c>
    </row>
    <row r="12" spans="1:13" ht="12.75">
      <c r="A12" s="62" t="s">
        <v>32</v>
      </c>
      <c r="B12" s="63" t="s">
        <v>31</v>
      </c>
      <c r="C12" s="38">
        <v>12</v>
      </c>
      <c r="D12" s="39">
        <v>50178.6</v>
      </c>
      <c r="E12" s="70">
        <v>4181.55</v>
      </c>
      <c r="F12" s="40">
        <f>E12+25089.3</f>
        <v>29270.85</v>
      </c>
      <c r="G12" s="39">
        <f t="shared" si="1"/>
        <v>50178.6</v>
      </c>
      <c r="H12" s="41"/>
      <c r="I12" s="41">
        <f t="shared" si="2"/>
        <v>50178.6</v>
      </c>
      <c r="J12" s="39">
        <v>25089.3</v>
      </c>
      <c r="K12" s="39" t="str">
        <f t="shared" si="0"/>
        <v> </v>
      </c>
      <c r="L12" s="39">
        <f t="shared" si="3"/>
        <v>4181.55</v>
      </c>
      <c r="M12" s="71">
        <f t="shared" si="4"/>
        <v>20907.75</v>
      </c>
    </row>
    <row r="13" spans="1:13" ht="12.75">
      <c r="A13" s="62" t="s">
        <v>26</v>
      </c>
      <c r="B13" s="63" t="s">
        <v>33</v>
      </c>
      <c r="C13" s="38">
        <v>12</v>
      </c>
      <c r="D13" s="39">
        <v>16753130</v>
      </c>
      <c r="E13" s="70">
        <v>1396094.2</v>
      </c>
      <c r="F13" s="40">
        <f>E13+9772659.4</f>
        <v>11168753.6</v>
      </c>
      <c r="G13" s="39">
        <f t="shared" si="1"/>
        <v>16753130</v>
      </c>
      <c r="H13" s="41"/>
      <c r="I13" s="41">
        <f t="shared" si="2"/>
        <v>16753130</v>
      </c>
      <c r="J13" s="39">
        <v>6980470.6</v>
      </c>
      <c r="K13" s="39" t="str">
        <f t="shared" si="0"/>
        <v> </v>
      </c>
      <c r="L13" s="39">
        <f t="shared" si="3"/>
        <v>1396094.2</v>
      </c>
      <c r="M13" s="71">
        <f t="shared" si="4"/>
        <v>5584376.4</v>
      </c>
    </row>
    <row r="14" spans="1:13" ht="12.75">
      <c r="A14" s="62" t="s">
        <v>32</v>
      </c>
      <c r="B14" s="63" t="s">
        <v>34</v>
      </c>
      <c r="C14" s="38">
        <v>12</v>
      </c>
      <c r="D14" s="39">
        <v>82376.75</v>
      </c>
      <c r="E14" s="70">
        <v>6864.73</v>
      </c>
      <c r="F14" s="40">
        <f>E14+27458.92</f>
        <v>34323.649999999994</v>
      </c>
      <c r="G14" s="39">
        <f t="shared" si="1"/>
        <v>82376.75</v>
      </c>
      <c r="H14" s="41"/>
      <c r="I14" s="41">
        <f t="shared" si="2"/>
        <v>82376.75</v>
      </c>
      <c r="J14" s="39">
        <v>54917.83</v>
      </c>
      <c r="K14" s="39" t="str">
        <f t="shared" si="0"/>
        <v> </v>
      </c>
      <c r="L14" s="39">
        <f t="shared" si="3"/>
        <v>6864.73</v>
      </c>
      <c r="M14" s="71">
        <f t="shared" si="4"/>
        <v>48053.100000000006</v>
      </c>
    </row>
    <row r="15" spans="1:13" ht="12.75">
      <c r="A15" s="62" t="s">
        <v>35</v>
      </c>
      <c r="B15" s="63" t="s">
        <v>34</v>
      </c>
      <c r="C15" s="38">
        <v>12</v>
      </c>
      <c r="D15" s="39">
        <v>78547</v>
      </c>
      <c r="E15" s="70">
        <v>6545.58</v>
      </c>
      <c r="F15" s="40">
        <f>E15+26182.32</f>
        <v>32727.9</v>
      </c>
      <c r="G15" s="39">
        <f t="shared" si="1"/>
        <v>78547</v>
      </c>
      <c r="H15" s="41"/>
      <c r="I15" s="41">
        <f t="shared" si="2"/>
        <v>78547</v>
      </c>
      <c r="J15" s="39">
        <v>52364.68</v>
      </c>
      <c r="K15" s="39" t="str">
        <f t="shared" si="0"/>
        <v> </v>
      </c>
      <c r="L15" s="39">
        <f t="shared" si="3"/>
        <v>6545.58</v>
      </c>
      <c r="M15" s="71">
        <f t="shared" si="4"/>
        <v>45819.1</v>
      </c>
    </row>
    <row r="16" spans="1:13" ht="12.75">
      <c r="A16" s="62" t="s">
        <v>32</v>
      </c>
      <c r="B16" s="63" t="s">
        <v>38</v>
      </c>
      <c r="C16" s="38">
        <v>12</v>
      </c>
      <c r="D16" s="39">
        <v>65762.53</v>
      </c>
      <c r="E16" s="70">
        <v>5480.21</v>
      </c>
      <c r="F16" s="40">
        <f>E16+10960.42</f>
        <v>16440.63</v>
      </c>
      <c r="G16" s="39">
        <f t="shared" si="1"/>
        <v>65762.53</v>
      </c>
      <c r="H16" s="41"/>
      <c r="I16" s="41">
        <f t="shared" si="2"/>
        <v>65762.53</v>
      </c>
      <c r="J16" s="39">
        <v>54802.11</v>
      </c>
      <c r="K16" s="39" t="str">
        <f t="shared" si="0"/>
        <v> </v>
      </c>
      <c r="L16" s="39">
        <f>IF((I16-H16-F16+E16)&lt;(I16-F16)," ",(E16-H16))</f>
        <v>5480.21</v>
      </c>
      <c r="M16" s="71">
        <f>IF((F16-I16)&lt;0,(I16-F16)," ")</f>
        <v>49321.899999999994</v>
      </c>
    </row>
    <row r="17" spans="1:13" ht="12.75">
      <c r="A17" s="62" t="s">
        <v>26</v>
      </c>
      <c r="B17" s="63" t="s">
        <v>36</v>
      </c>
      <c r="C17" s="38">
        <v>12</v>
      </c>
      <c r="D17" s="39">
        <v>5105860</v>
      </c>
      <c r="E17" s="70">
        <v>425488.33</v>
      </c>
      <c r="F17" s="40">
        <f>E17+1276464.99</f>
        <v>1701953.32</v>
      </c>
      <c r="G17" s="39">
        <f t="shared" si="1"/>
        <v>5105860</v>
      </c>
      <c r="H17" s="41"/>
      <c r="I17" s="41">
        <f t="shared" si="2"/>
        <v>5105860</v>
      </c>
      <c r="J17" s="39">
        <v>3829395.01</v>
      </c>
      <c r="K17" s="39" t="str">
        <f t="shared" si="0"/>
        <v> </v>
      </c>
      <c r="L17" s="39">
        <f t="shared" si="3"/>
        <v>425488.33</v>
      </c>
      <c r="M17" s="71">
        <f t="shared" si="4"/>
        <v>3403906.6799999997</v>
      </c>
    </row>
    <row r="18" spans="1:13" ht="12.75">
      <c r="A18" s="62" t="s">
        <v>37</v>
      </c>
      <c r="B18" s="63" t="s">
        <v>38</v>
      </c>
      <c r="C18" s="38">
        <v>12</v>
      </c>
      <c r="D18" s="39">
        <v>7057000</v>
      </c>
      <c r="E18" s="70">
        <v>588083.33</v>
      </c>
      <c r="F18" s="40">
        <f>E18+1176166.66</f>
        <v>1764249.9899999998</v>
      </c>
      <c r="G18" s="39">
        <f t="shared" si="1"/>
        <v>7057000</v>
      </c>
      <c r="H18" s="41"/>
      <c r="I18" s="41">
        <f t="shared" si="2"/>
        <v>7057000</v>
      </c>
      <c r="J18" s="39">
        <v>5880833.34</v>
      </c>
      <c r="K18" s="39" t="str">
        <f t="shared" si="0"/>
        <v> </v>
      </c>
      <c r="L18" s="39">
        <f t="shared" si="3"/>
        <v>588083.33</v>
      </c>
      <c r="M18" s="71">
        <f t="shared" si="4"/>
        <v>5292750.01</v>
      </c>
    </row>
    <row r="19" spans="1:13" ht="12.75">
      <c r="A19" s="62" t="s">
        <v>26</v>
      </c>
      <c r="B19" s="63" t="s">
        <v>38</v>
      </c>
      <c r="C19" s="38">
        <v>12</v>
      </c>
      <c r="D19" s="39">
        <v>96780211.4</v>
      </c>
      <c r="E19" s="70">
        <v>8065017.62</v>
      </c>
      <c r="F19" s="40">
        <f>E19+16130035.24</f>
        <v>24195052.86</v>
      </c>
      <c r="G19" s="39">
        <f t="shared" si="1"/>
        <v>96780211.4</v>
      </c>
      <c r="H19" s="41"/>
      <c r="I19" s="41">
        <f t="shared" si="2"/>
        <v>96780211.4</v>
      </c>
      <c r="J19" s="39">
        <v>80650176.16</v>
      </c>
      <c r="K19" s="39" t="str">
        <f t="shared" si="0"/>
        <v> </v>
      </c>
      <c r="L19" s="39">
        <f t="shared" si="3"/>
        <v>8065017.62</v>
      </c>
      <c r="M19" s="71">
        <f t="shared" si="4"/>
        <v>72585158.54</v>
      </c>
    </row>
    <row r="20" spans="1:13" ht="12.75">
      <c r="A20" s="62" t="s">
        <v>26</v>
      </c>
      <c r="B20" s="63" t="s">
        <v>38</v>
      </c>
      <c r="C20" s="38">
        <v>12</v>
      </c>
      <c r="D20" s="39">
        <v>1943600</v>
      </c>
      <c r="E20" s="70">
        <v>161966.67</v>
      </c>
      <c r="F20" s="40">
        <f>E20+323933.34</f>
        <v>485900.01</v>
      </c>
      <c r="G20" s="39">
        <f t="shared" si="1"/>
        <v>1943600</v>
      </c>
      <c r="H20" s="41"/>
      <c r="I20" s="41">
        <f t="shared" si="2"/>
        <v>1943600</v>
      </c>
      <c r="J20" s="39">
        <v>1619666.66</v>
      </c>
      <c r="K20" s="39" t="str">
        <f t="shared" si="0"/>
        <v> </v>
      </c>
      <c r="L20" s="39">
        <f t="shared" si="3"/>
        <v>161966.67</v>
      </c>
      <c r="M20" s="71">
        <f t="shared" si="4"/>
        <v>1457699.99</v>
      </c>
    </row>
    <row r="21" spans="1:13" ht="12.75">
      <c r="A21" s="62" t="s">
        <v>26</v>
      </c>
      <c r="B21" s="63" t="s">
        <v>38</v>
      </c>
      <c r="C21" s="38">
        <v>12</v>
      </c>
      <c r="D21" s="39">
        <v>4573278.14</v>
      </c>
      <c r="E21" s="70">
        <v>381106.51</v>
      </c>
      <c r="F21" s="40">
        <f>E21+1143319.53</f>
        <v>1524426.04</v>
      </c>
      <c r="G21" s="39">
        <f t="shared" si="1"/>
        <v>4573278.14</v>
      </c>
      <c r="H21" s="41"/>
      <c r="I21" s="41">
        <f t="shared" si="2"/>
        <v>4573278.14</v>
      </c>
      <c r="J21" s="39">
        <v>3429958.61</v>
      </c>
      <c r="K21" s="39" t="str">
        <f t="shared" si="0"/>
        <v> </v>
      </c>
      <c r="L21" s="39">
        <f t="shared" si="3"/>
        <v>381106.51</v>
      </c>
      <c r="M21" s="71">
        <f t="shared" si="4"/>
        <v>3048852.0999999996</v>
      </c>
    </row>
    <row r="22" spans="1:13" ht="12.75">
      <c r="A22" s="62" t="s">
        <v>32</v>
      </c>
      <c r="B22" s="59" t="s">
        <v>39</v>
      </c>
      <c r="C22" s="19">
        <v>12</v>
      </c>
      <c r="D22" s="4">
        <v>95787.1</v>
      </c>
      <c r="E22" s="70">
        <f>7982.25</f>
        <v>7982.25</v>
      </c>
      <c r="F22" s="40">
        <f>E22+7982.25</f>
        <v>15964.5</v>
      </c>
      <c r="G22" s="4">
        <f t="shared" si="1"/>
        <v>95787.1</v>
      </c>
      <c r="H22" s="3"/>
      <c r="I22" s="3">
        <f t="shared" si="2"/>
        <v>95787.1</v>
      </c>
      <c r="J22" s="39">
        <v>87804.85</v>
      </c>
      <c r="K22" s="39" t="str">
        <f aca="true" t="shared" si="5" ref="K22:K29">IF((M22=" ")," ",IF((E22-H22)&lt;0,(H22-E22)," "))</f>
        <v> </v>
      </c>
      <c r="L22" s="39">
        <f t="shared" si="3"/>
        <v>7982.25</v>
      </c>
      <c r="M22" s="71">
        <f t="shared" si="4"/>
        <v>79822.6</v>
      </c>
    </row>
    <row r="23" spans="1:13" ht="12.75">
      <c r="A23" s="62" t="s">
        <v>26</v>
      </c>
      <c r="B23" s="59" t="s">
        <v>39</v>
      </c>
      <c r="C23" s="19">
        <v>12</v>
      </c>
      <c r="D23" s="4">
        <v>15328388.14</v>
      </c>
      <c r="E23" s="70">
        <v>1277365.67</v>
      </c>
      <c r="F23" s="40">
        <f>E23+1277365.67</f>
        <v>2554731.34</v>
      </c>
      <c r="G23" s="4">
        <f t="shared" si="1"/>
        <v>15328388.14</v>
      </c>
      <c r="H23" s="3"/>
      <c r="I23" s="3">
        <f t="shared" si="2"/>
        <v>15328388.14</v>
      </c>
      <c r="J23" s="39">
        <v>14051022.47</v>
      </c>
      <c r="K23" s="39" t="str">
        <f t="shared" si="5"/>
        <v> </v>
      </c>
      <c r="L23" s="39">
        <f t="shared" si="3"/>
        <v>1277365.67</v>
      </c>
      <c r="M23" s="71">
        <f t="shared" si="4"/>
        <v>12773656.8</v>
      </c>
    </row>
    <row r="24" spans="1:13" ht="12.75">
      <c r="A24" s="62" t="s">
        <v>26</v>
      </c>
      <c r="B24" s="59" t="s">
        <v>39</v>
      </c>
      <c r="C24" s="19">
        <v>12</v>
      </c>
      <c r="D24" s="4">
        <v>10800000</v>
      </c>
      <c r="E24" s="70">
        <v>900000</v>
      </c>
      <c r="F24" s="40">
        <f>E24+900000</f>
        <v>1800000</v>
      </c>
      <c r="G24" s="4">
        <f t="shared" si="1"/>
        <v>10800000</v>
      </c>
      <c r="H24" s="3"/>
      <c r="I24" s="3">
        <f t="shared" si="2"/>
        <v>10800000</v>
      </c>
      <c r="J24" s="39">
        <v>9900000</v>
      </c>
      <c r="K24" s="39" t="str">
        <f t="shared" si="5"/>
        <v> </v>
      </c>
      <c r="L24" s="39">
        <f t="shared" si="3"/>
        <v>900000</v>
      </c>
      <c r="M24" s="71">
        <f t="shared" si="4"/>
        <v>9000000</v>
      </c>
    </row>
    <row r="25" spans="1:13" ht="13.5" thickBot="1">
      <c r="A25" s="65" t="s">
        <v>26</v>
      </c>
      <c r="B25" s="59" t="s">
        <v>39</v>
      </c>
      <c r="C25" s="19">
        <v>12</v>
      </c>
      <c r="D25" s="4">
        <v>1320000</v>
      </c>
      <c r="E25" s="70">
        <v>36666.67</v>
      </c>
      <c r="F25" s="40">
        <f>E25+36666.67</f>
        <v>73333.34</v>
      </c>
      <c r="G25" s="4">
        <f t="shared" si="1"/>
        <v>1320000</v>
      </c>
      <c r="H25" s="3"/>
      <c r="I25" s="3">
        <f t="shared" si="2"/>
        <v>1320000</v>
      </c>
      <c r="J25" s="39">
        <v>1283333.33</v>
      </c>
      <c r="K25" s="39" t="str">
        <f t="shared" si="5"/>
        <v> </v>
      </c>
      <c r="L25" s="39">
        <f>IF((I25-H25-F25+E25)&lt;(I25-F25)," ",(E25-H25))</f>
        <v>36666.67</v>
      </c>
      <c r="M25" s="71">
        <f>IF((F25-I25)&lt;0,(I25-F25)," ")</f>
        <v>1246666.66</v>
      </c>
    </row>
    <row r="26" spans="1:13" ht="13.5" thickBot="1">
      <c r="A26" s="66" t="s">
        <v>43</v>
      </c>
      <c r="B26" s="60" t="s">
        <v>39</v>
      </c>
      <c r="C26" s="21">
        <v>48</v>
      </c>
      <c r="D26" s="16">
        <f>245000+240000</f>
        <v>485000</v>
      </c>
      <c r="E26" s="68">
        <f>5052.08+5052.08</f>
        <v>10104.16</v>
      </c>
      <c r="F26" s="52">
        <f>E26+111145.76</f>
        <v>121249.92</v>
      </c>
      <c r="G26" s="16">
        <f t="shared" si="1"/>
        <v>485000</v>
      </c>
      <c r="H26" s="5"/>
      <c r="I26" s="5">
        <f t="shared" si="2"/>
        <v>485000</v>
      </c>
      <c r="J26" s="43">
        <v>373854.24</v>
      </c>
      <c r="K26" s="43" t="str">
        <f t="shared" si="5"/>
        <v> </v>
      </c>
      <c r="L26" s="43">
        <f>IF((I26-H26-F26+E26)&lt;(I26-F26)," ",(E26-H26))</f>
        <v>10104.16</v>
      </c>
      <c r="M26" s="69">
        <f>IF((F26-I26)&lt;0,(I26-F26)," ")</f>
        <v>363750.08</v>
      </c>
    </row>
    <row r="27" spans="1:13" ht="13.5" hidden="1" thickBot="1">
      <c r="A27" s="2"/>
      <c r="B27" s="53"/>
      <c r="C27" s="54"/>
      <c r="D27" s="55"/>
      <c r="E27" s="56"/>
      <c r="F27" s="44"/>
      <c r="G27" s="55">
        <f t="shared" si="1"/>
        <v>0</v>
      </c>
      <c r="H27" s="57"/>
      <c r="I27" s="57">
        <f t="shared" si="2"/>
        <v>0</v>
      </c>
      <c r="J27" s="51" t="e">
        <f>#REF!</f>
        <v>#REF!</v>
      </c>
      <c r="K27" s="51" t="str">
        <f t="shared" si="5"/>
        <v> </v>
      </c>
      <c r="L27" s="51">
        <f>IF((I27-H27-F27+E27)&lt;(I27-F27)," ",(E27-H27))</f>
        <v>0</v>
      </c>
      <c r="M27" s="58" t="str">
        <f>IF((F27-I27)&lt;0,(I27-F27)," ")</f>
        <v> </v>
      </c>
    </row>
    <row r="28" spans="1:13" ht="13.5" hidden="1" thickBot="1">
      <c r="A28" s="2"/>
      <c r="B28" s="18"/>
      <c r="C28" s="19"/>
      <c r="D28" s="4"/>
      <c r="E28" s="31"/>
      <c r="F28" s="40"/>
      <c r="G28" s="4">
        <f t="shared" si="1"/>
        <v>0</v>
      </c>
      <c r="H28" s="3"/>
      <c r="I28" s="3">
        <f t="shared" si="2"/>
        <v>0</v>
      </c>
      <c r="J28" s="34" t="e">
        <f>#REF!</f>
        <v>#REF!</v>
      </c>
      <c r="K28" s="39" t="str">
        <f t="shared" si="5"/>
        <v> </v>
      </c>
      <c r="L28" s="39">
        <f>IF((I28-H28-F28+E28)&lt;(I28-F28)," ",(E28-H28))</f>
        <v>0</v>
      </c>
      <c r="M28" s="42" t="str">
        <f>IF((F28-I28)&lt;0,(I28-F28)," ")</f>
        <v> </v>
      </c>
    </row>
    <row r="29" spans="1:13" ht="13.5" hidden="1" thickBot="1">
      <c r="A29" s="15"/>
      <c r="B29" s="20"/>
      <c r="C29" s="21"/>
      <c r="D29" s="16"/>
      <c r="E29" s="32"/>
      <c r="F29" s="52" t="e">
        <f>E29+#REF!</f>
        <v>#REF!</v>
      </c>
      <c r="G29" s="16">
        <f t="shared" si="1"/>
        <v>0</v>
      </c>
      <c r="H29" s="5"/>
      <c r="I29" s="5">
        <f t="shared" si="2"/>
        <v>0</v>
      </c>
      <c r="J29" s="34" t="e">
        <f>#REF!</f>
        <v>#REF!</v>
      </c>
      <c r="K29" s="39" t="e">
        <f t="shared" si="5"/>
        <v>#REF!</v>
      </c>
      <c r="L29" s="39" t="e">
        <f>IF((I29-H29-F29+E29)&lt;(I29-F29)," ",(E29-H29))</f>
        <v>#REF!</v>
      </c>
      <c r="M29" s="42" t="e">
        <f>IF((F29-I29)&lt;0,(I29-F29)," ")</f>
        <v>#REF!</v>
      </c>
    </row>
    <row r="30" spans="1:13" ht="13.5" thickBot="1">
      <c r="A30" s="26" t="s">
        <v>12</v>
      </c>
      <c r="B30" s="27"/>
      <c r="C30" s="27"/>
      <c r="D30" s="28">
        <f aca="true" t="shared" si="6" ref="D30:M30">SUM(D9:D26)</f>
        <v>162859919.65999997</v>
      </c>
      <c r="E30" s="28">
        <f t="shared" si="6"/>
        <v>13468014.15</v>
      </c>
      <c r="F30" s="28">
        <f t="shared" si="6"/>
        <v>47507477.980000004</v>
      </c>
      <c r="G30" s="28">
        <f t="shared" si="6"/>
        <v>162859919.65999997</v>
      </c>
      <c r="H30" s="28">
        <f t="shared" si="6"/>
        <v>0</v>
      </c>
      <c r="I30" s="28">
        <f t="shared" si="6"/>
        <v>162859919.65999997</v>
      </c>
      <c r="J30" s="28">
        <f t="shared" si="6"/>
        <v>128820455.82999997</v>
      </c>
      <c r="K30" s="28">
        <f t="shared" si="6"/>
        <v>0</v>
      </c>
      <c r="L30" s="28">
        <f t="shared" si="6"/>
        <v>13468014.15</v>
      </c>
      <c r="M30" s="28">
        <f t="shared" si="6"/>
        <v>115352441.67999998</v>
      </c>
    </row>
    <row r="31" spans="1:13" ht="13.5" thickBot="1">
      <c r="A31" s="22" t="s">
        <v>6</v>
      </c>
      <c r="B31" s="23"/>
      <c r="C31" s="23"/>
      <c r="D31" s="17">
        <f aca="true" t="shared" si="7" ref="D31:M31">D30*20%</f>
        <v>32571983.931999996</v>
      </c>
      <c r="E31" s="29">
        <f t="shared" si="7"/>
        <v>2693602.83</v>
      </c>
      <c r="F31" s="24">
        <f t="shared" si="7"/>
        <v>9501495.596</v>
      </c>
      <c r="G31" s="24">
        <f t="shared" si="7"/>
        <v>32571983.931999996</v>
      </c>
      <c r="H31" s="25">
        <f t="shared" si="7"/>
        <v>0</v>
      </c>
      <c r="I31" s="24">
        <f t="shared" si="7"/>
        <v>32571983.931999996</v>
      </c>
      <c r="J31" s="24">
        <f t="shared" si="7"/>
        <v>25764091.165999994</v>
      </c>
      <c r="K31" s="25">
        <f t="shared" si="7"/>
        <v>0</v>
      </c>
      <c r="L31" s="24">
        <f>L30*20%</f>
        <v>2693602.83</v>
      </c>
      <c r="M31" s="30">
        <f t="shared" si="7"/>
        <v>23070488.335999995</v>
      </c>
    </row>
    <row r="32" ht="13.5" thickBot="1"/>
    <row r="33" spans="5:13" ht="13.5" thickBot="1">
      <c r="E33" s="102" t="s">
        <v>23</v>
      </c>
      <c r="F33" s="103"/>
      <c r="G33" s="11">
        <f>K31</f>
        <v>0</v>
      </c>
      <c r="H33" s="13"/>
      <c r="I33" s="104" t="s">
        <v>40</v>
      </c>
      <c r="J33" s="105"/>
      <c r="K33" s="105"/>
      <c r="L33" s="105"/>
      <c r="M33" s="105"/>
    </row>
    <row r="34" spans="1:13" ht="15" thickBot="1">
      <c r="A34" s="106" t="s">
        <v>1</v>
      </c>
      <c r="B34" s="106"/>
      <c r="C34" s="106"/>
      <c r="D34" s="12"/>
      <c r="E34" s="102" t="s">
        <v>7</v>
      </c>
      <c r="F34" s="103"/>
      <c r="G34" s="11">
        <f>L31</f>
        <v>2693602.83</v>
      </c>
      <c r="H34" s="13"/>
      <c r="I34" s="107" t="s">
        <v>41</v>
      </c>
      <c r="J34" s="108"/>
      <c r="K34" s="108"/>
      <c r="L34" s="108"/>
      <c r="M34" s="108"/>
    </row>
    <row r="35" spans="5:14" ht="12.75">
      <c r="E35" s="14" t="s">
        <v>2</v>
      </c>
      <c r="G35" s="6">
        <f>K30*2%</f>
        <v>0</v>
      </c>
      <c r="I35" s="7" t="s">
        <v>4</v>
      </c>
      <c r="K35" s="109">
        <f>L30*2%</f>
        <v>269360.283</v>
      </c>
      <c r="L35" s="109"/>
      <c r="N35" s="10"/>
    </row>
    <row r="36" spans="5:12" ht="12.75">
      <c r="E36" s="110" t="s">
        <v>3</v>
      </c>
      <c r="F36" s="110"/>
      <c r="G36" s="6">
        <f>K30*18%</f>
        <v>0</v>
      </c>
      <c r="I36" s="111" t="s">
        <v>5</v>
      </c>
      <c r="J36" s="111"/>
      <c r="K36" s="109">
        <f>L30*18%</f>
        <v>2424242.547</v>
      </c>
      <c r="L36" s="109"/>
    </row>
  </sheetData>
  <sheetProtection/>
  <mergeCells count="24">
    <mergeCell ref="A34:C34"/>
    <mergeCell ref="E34:F34"/>
    <mergeCell ref="I34:M34"/>
    <mergeCell ref="K35:L35"/>
    <mergeCell ref="E36:F36"/>
    <mergeCell ref="I36:J36"/>
    <mergeCell ref="K36:L36"/>
    <mergeCell ref="F6:F7"/>
    <mergeCell ref="G6:G7"/>
    <mergeCell ref="H6:H7"/>
    <mergeCell ref="I6:I7"/>
    <mergeCell ref="J6:M6"/>
    <mergeCell ref="E33:F33"/>
    <mergeCell ref="I33:M33"/>
    <mergeCell ref="C2:M2"/>
    <mergeCell ref="F3:I3"/>
    <mergeCell ref="A5:A7"/>
    <mergeCell ref="B5:B7"/>
    <mergeCell ref="C5:C7"/>
    <mergeCell ref="D5:F5"/>
    <mergeCell ref="G5:I5"/>
    <mergeCell ref="J5:M5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workbookViewId="0" topLeftCell="D7">
      <selection activeCell="F21" sqref="F21"/>
    </sheetView>
  </sheetViews>
  <sheetFormatPr defaultColWidth="9.00390625" defaultRowHeight="12.75"/>
  <cols>
    <col min="1" max="1" width="16.375" style="0" customWidth="1"/>
    <col min="2" max="2" width="7.875" style="0" customWidth="1"/>
    <col min="3" max="3" width="5.25390625" style="0" customWidth="1"/>
    <col min="4" max="4" width="12.875" style="0" customWidth="1"/>
    <col min="5" max="5" width="10.25390625" style="14" customWidth="1"/>
    <col min="6" max="6" width="10.875" style="0" customWidth="1"/>
    <col min="7" max="7" width="15.625" style="0" customWidth="1"/>
    <col min="8" max="8" width="11.75390625" style="0" bestFit="1" customWidth="1"/>
    <col min="9" max="9" width="12.125" style="0" customWidth="1"/>
    <col min="10" max="10" width="12.75390625" style="0" bestFit="1" customWidth="1"/>
    <col min="11" max="11" width="12.75390625" style="0" customWidth="1"/>
    <col min="12" max="12" width="11.75390625" style="0" bestFit="1" customWidth="1"/>
    <col min="13" max="13" width="11.875" style="0" customWidth="1"/>
    <col min="14" max="16384" width="9.125" style="10" customWidth="1"/>
  </cols>
  <sheetData>
    <row r="1" spans="1:2" ht="19.5" customHeight="1" thickBot="1">
      <c r="A1" s="8" t="s">
        <v>29</v>
      </c>
      <c r="B1" s="9"/>
    </row>
    <row r="2" spans="3:13" ht="15.75">
      <c r="C2" s="90" t="s">
        <v>15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6:9" ht="17.25" customHeight="1">
      <c r="F3" s="90" t="s">
        <v>44</v>
      </c>
      <c r="G3" s="90"/>
      <c r="H3" s="90"/>
      <c r="I3" s="90"/>
    </row>
    <row r="4" spans="1:3" ht="15.75" thickBot="1">
      <c r="A4" s="1" t="s">
        <v>18</v>
      </c>
      <c r="B4" s="1"/>
      <c r="C4" s="1"/>
    </row>
    <row r="5" spans="1:13" ht="12.75">
      <c r="A5" s="91" t="s">
        <v>19</v>
      </c>
      <c r="B5" s="94" t="s">
        <v>20</v>
      </c>
      <c r="C5" s="94" t="s">
        <v>22</v>
      </c>
      <c r="D5" s="94" t="s">
        <v>8</v>
      </c>
      <c r="E5" s="94"/>
      <c r="F5" s="94"/>
      <c r="G5" s="94" t="s">
        <v>9</v>
      </c>
      <c r="H5" s="94"/>
      <c r="I5" s="94"/>
      <c r="J5" s="94" t="s">
        <v>10</v>
      </c>
      <c r="K5" s="94"/>
      <c r="L5" s="94"/>
      <c r="M5" s="97"/>
    </row>
    <row r="6" spans="1:13" ht="12.75">
      <c r="A6" s="92"/>
      <c r="B6" s="95"/>
      <c r="C6" s="95"/>
      <c r="D6" s="95" t="s">
        <v>17</v>
      </c>
      <c r="E6" s="98" t="s">
        <v>13</v>
      </c>
      <c r="F6" s="95" t="s">
        <v>0</v>
      </c>
      <c r="G6" s="95" t="s">
        <v>17</v>
      </c>
      <c r="H6" s="95" t="s">
        <v>13</v>
      </c>
      <c r="I6" s="95" t="s">
        <v>0</v>
      </c>
      <c r="J6" s="95" t="s">
        <v>24</v>
      </c>
      <c r="K6" s="95"/>
      <c r="L6" s="95"/>
      <c r="M6" s="101"/>
    </row>
    <row r="7" spans="1:13" ht="52.5" customHeight="1" thickBot="1">
      <c r="A7" s="93"/>
      <c r="B7" s="96"/>
      <c r="C7" s="96"/>
      <c r="D7" s="96"/>
      <c r="E7" s="99"/>
      <c r="F7" s="96"/>
      <c r="G7" s="96"/>
      <c r="H7" s="96"/>
      <c r="I7" s="100"/>
      <c r="J7" s="45" t="s">
        <v>21</v>
      </c>
      <c r="K7" s="45" t="s">
        <v>14</v>
      </c>
      <c r="L7" s="45" t="s">
        <v>11</v>
      </c>
      <c r="M7" s="46" t="s">
        <v>16</v>
      </c>
    </row>
    <row r="8" spans="1:13" ht="13.5" thickBot="1">
      <c r="A8" s="47">
        <v>1</v>
      </c>
      <c r="B8" s="48"/>
      <c r="C8" s="48"/>
      <c r="D8" s="48">
        <v>2</v>
      </c>
      <c r="E8" s="49">
        <v>3</v>
      </c>
      <c r="F8" s="48">
        <v>4</v>
      </c>
      <c r="G8" s="48">
        <v>5</v>
      </c>
      <c r="H8" s="48">
        <v>6</v>
      </c>
      <c r="I8" s="48">
        <v>7</v>
      </c>
      <c r="J8" s="48">
        <v>8</v>
      </c>
      <c r="K8" s="48">
        <v>9</v>
      </c>
      <c r="L8" s="48">
        <v>10</v>
      </c>
      <c r="M8" s="50">
        <v>11</v>
      </c>
    </row>
    <row r="9" spans="1:13" s="61" customFormat="1" ht="12.75">
      <c r="A9" s="77" t="s">
        <v>25</v>
      </c>
      <c r="B9" s="78" t="s">
        <v>28</v>
      </c>
      <c r="C9" s="33">
        <v>12</v>
      </c>
      <c r="D9" s="34">
        <v>2100000</v>
      </c>
      <c r="E9" s="72">
        <v>175000</v>
      </c>
      <c r="F9" s="35">
        <f>E9+'ОНО 0116'!F10</f>
        <v>1925000</v>
      </c>
      <c r="G9" s="34">
        <f>D9</f>
        <v>2100000</v>
      </c>
      <c r="H9" s="36"/>
      <c r="I9" s="36">
        <f>G9</f>
        <v>2100000</v>
      </c>
      <c r="J9" s="34">
        <f>'ОНО 0116'!M10</f>
        <v>350000</v>
      </c>
      <c r="K9" s="34" t="str">
        <f aca="true" t="shared" si="0" ref="K9:K30">IF((M9=" ")," ",IF((E9-H9)&lt;0,(H9-E9)," "))</f>
        <v> </v>
      </c>
      <c r="L9" s="34">
        <f>IF((I9-H9-F9+E9)&lt;(I9-F9)," ",(E9-H9))</f>
        <v>175000</v>
      </c>
      <c r="M9" s="73">
        <f>IF((F9-I9)&lt;0,(I9-F9)," ")</f>
        <v>175000</v>
      </c>
    </row>
    <row r="10" spans="1:13" ht="12.75">
      <c r="A10" s="79" t="s">
        <v>30</v>
      </c>
      <c r="B10" s="75" t="s">
        <v>31</v>
      </c>
      <c r="C10" s="38">
        <v>12</v>
      </c>
      <c r="D10" s="39">
        <v>6800</v>
      </c>
      <c r="E10" s="70">
        <v>566.67</v>
      </c>
      <c r="F10" s="40">
        <f>E10+'ОНО 0116'!F11</f>
        <v>5666.7</v>
      </c>
      <c r="G10" s="39">
        <f aca="true" t="shared" si="1" ref="G10:G30">D10</f>
        <v>6800</v>
      </c>
      <c r="H10" s="41"/>
      <c r="I10" s="41">
        <f aca="true" t="shared" si="2" ref="I10:I30">G10</f>
        <v>6800</v>
      </c>
      <c r="J10" s="39">
        <f>'ОНО 0116'!M11</f>
        <v>1699.9700000000003</v>
      </c>
      <c r="K10" s="39" t="str">
        <f t="shared" si="0"/>
        <v> </v>
      </c>
      <c r="L10" s="39">
        <f aca="true" t="shared" si="3" ref="L10:L23">IF((I10-H10-F10+E10)&lt;(I10-F10)," ",(E10-H10))</f>
        <v>566.67</v>
      </c>
      <c r="M10" s="74">
        <f aca="true" t="shared" si="4" ref="M10:M23">IF((F10-I10)&lt;0,(I10-F10)," ")</f>
        <v>1133.3000000000002</v>
      </c>
    </row>
    <row r="11" spans="1:13" ht="12.75">
      <c r="A11" s="79" t="s">
        <v>32</v>
      </c>
      <c r="B11" s="75" t="s">
        <v>31</v>
      </c>
      <c r="C11" s="38">
        <v>12</v>
      </c>
      <c r="D11" s="39">
        <v>50178.6</v>
      </c>
      <c r="E11" s="70">
        <v>4181.55</v>
      </c>
      <c r="F11" s="40">
        <f>E11+'ОНО 0116'!F12</f>
        <v>33452.4</v>
      </c>
      <c r="G11" s="39">
        <f t="shared" si="1"/>
        <v>50178.6</v>
      </c>
      <c r="H11" s="41"/>
      <c r="I11" s="41">
        <f t="shared" si="2"/>
        <v>50178.6</v>
      </c>
      <c r="J11" s="39">
        <f>'ОНО 0116'!M12</f>
        <v>20907.75</v>
      </c>
      <c r="K11" s="39" t="str">
        <f t="shared" si="0"/>
        <v> </v>
      </c>
      <c r="L11" s="39">
        <f t="shared" si="3"/>
        <v>4181.55</v>
      </c>
      <c r="M11" s="74">
        <f t="shared" si="4"/>
        <v>16726.199999999997</v>
      </c>
    </row>
    <row r="12" spans="1:13" ht="12.75">
      <c r="A12" s="79" t="s">
        <v>26</v>
      </c>
      <c r="B12" s="75" t="s">
        <v>33</v>
      </c>
      <c r="C12" s="38">
        <v>12</v>
      </c>
      <c r="D12" s="39">
        <v>16753130</v>
      </c>
      <c r="E12" s="70">
        <v>1396094.2</v>
      </c>
      <c r="F12" s="40">
        <f>E12+'ОНО 0116'!F13</f>
        <v>12564847.799999999</v>
      </c>
      <c r="G12" s="39">
        <f t="shared" si="1"/>
        <v>16753130</v>
      </c>
      <c r="H12" s="41"/>
      <c r="I12" s="41">
        <f t="shared" si="2"/>
        <v>16753130</v>
      </c>
      <c r="J12" s="39">
        <f>'ОНО 0116'!M13</f>
        <v>5584376.4</v>
      </c>
      <c r="K12" s="39" t="str">
        <f t="shared" si="0"/>
        <v> </v>
      </c>
      <c r="L12" s="39">
        <f t="shared" si="3"/>
        <v>1396094.2</v>
      </c>
      <c r="M12" s="74">
        <f t="shared" si="4"/>
        <v>4188282.200000001</v>
      </c>
    </row>
    <row r="13" spans="1:13" ht="12.75">
      <c r="A13" s="79" t="s">
        <v>32</v>
      </c>
      <c r="B13" s="75" t="s">
        <v>34</v>
      </c>
      <c r="C13" s="38">
        <v>12</v>
      </c>
      <c r="D13" s="39">
        <v>82376.75</v>
      </c>
      <c r="E13" s="70">
        <v>6864.73</v>
      </c>
      <c r="F13" s="40">
        <f>E13+'ОНО 0116'!F14</f>
        <v>41188.37999999999</v>
      </c>
      <c r="G13" s="39">
        <f t="shared" si="1"/>
        <v>82376.75</v>
      </c>
      <c r="H13" s="41"/>
      <c r="I13" s="41">
        <f t="shared" si="2"/>
        <v>82376.75</v>
      </c>
      <c r="J13" s="39">
        <f>'ОНО 0116'!M14</f>
        <v>48053.100000000006</v>
      </c>
      <c r="K13" s="39" t="str">
        <f t="shared" si="0"/>
        <v> </v>
      </c>
      <c r="L13" s="39">
        <f t="shared" si="3"/>
        <v>6864.73</v>
      </c>
      <c r="M13" s="74">
        <f t="shared" si="4"/>
        <v>41188.37000000001</v>
      </c>
    </row>
    <row r="14" spans="1:13" ht="12.75">
      <c r="A14" s="79" t="s">
        <v>35</v>
      </c>
      <c r="B14" s="75" t="s">
        <v>34</v>
      </c>
      <c r="C14" s="38">
        <v>12</v>
      </c>
      <c r="D14" s="39">
        <v>78547</v>
      </c>
      <c r="E14" s="70">
        <v>6545.58</v>
      </c>
      <c r="F14" s="40">
        <f>E14+'ОНО 0116'!F15</f>
        <v>39273.48</v>
      </c>
      <c r="G14" s="39">
        <f t="shared" si="1"/>
        <v>78547</v>
      </c>
      <c r="H14" s="41"/>
      <c r="I14" s="41">
        <f t="shared" si="2"/>
        <v>78547</v>
      </c>
      <c r="J14" s="39">
        <f>'ОНО 0116'!M15</f>
        <v>45819.1</v>
      </c>
      <c r="K14" s="39" t="str">
        <f t="shared" si="0"/>
        <v> </v>
      </c>
      <c r="L14" s="39">
        <f t="shared" si="3"/>
        <v>6545.58</v>
      </c>
      <c r="M14" s="74">
        <f t="shared" si="4"/>
        <v>39273.52</v>
      </c>
    </row>
    <row r="15" spans="1:13" ht="12.75">
      <c r="A15" s="79" t="s">
        <v>32</v>
      </c>
      <c r="B15" s="75" t="s">
        <v>38</v>
      </c>
      <c r="C15" s="38">
        <v>12</v>
      </c>
      <c r="D15" s="39">
        <v>65762.53</v>
      </c>
      <c r="E15" s="70">
        <v>5480.21</v>
      </c>
      <c r="F15" s="40">
        <f>E15+'ОНО 0116'!F16</f>
        <v>21920.84</v>
      </c>
      <c r="G15" s="39">
        <f t="shared" si="1"/>
        <v>65762.53</v>
      </c>
      <c r="H15" s="41"/>
      <c r="I15" s="41">
        <f t="shared" si="2"/>
        <v>65762.53</v>
      </c>
      <c r="J15" s="39">
        <f>'ОНО 0116'!M16</f>
        <v>49321.899999999994</v>
      </c>
      <c r="K15" s="39" t="str">
        <f t="shared" si="0"/>
        <v> </v>
      </c>
      <c r="L15" s="39">
        <f>IF((I15-H15-F15+E15)&lt;(I15-F15)," ",(E15-H15))</f>
        <v>5480.21</v>
      </c>
      <c r="M15" s="74">
        <f>IF((F15-I15)&lt;0,(I15-F15)," ")</f>
        <v>43841.69</v>
      </c>
    </row>
    <row r="16" spans="1:13" ht="12.75">
      <c r="A16" s="79" t="s">
        <v>26</v>
      </c>
      <c r="B16" s="75" t="s">
        <v>36</v>
      </c>
      <c r="C16" s="38">
        <v>12</v>
      </c>
      <c r="D16" s="39">
        <v>5105860</v>
      </c>
      <c r="E16" s="70">
        <v>425488.33</v>
      </c>
      <c r="F16" s="40">
        <f>E16+'ОНО 0116'!F17</f>
        <v>2127441.65</v>
      </c>
      <c r="G16" s="39">
        <f t="shared" si="1"/>
        <v>5105860</v>
      </c>
      <c r="H16" s="41"/>
      <c r="I16" s="41">
        <f t="shared" si="2"/>
        <v>5105860</v>
      </c>
      <c r="J16" s="39">
        <f>'ОНО 0116'!M17</f>
        <v>3403906.6799999997</v>
      </c>
      <c r="K16" s="39" t="str">
        <f t="shared" si="0"/>
        <v> </v>
      </c>
      <c r="L16" s="39">
        <f t="shared" si="3"/>
        <v>425488.33</v>
      </c>
      <c r="M16" s="74">
        <f t="shared" si="4"/>
        <v>2978418.35</v>
      </c>
    </row>
    <row r="17" spans="1:13" ht="12.75">
      <c r="A17" s="79" t="s">
        <v>37</v>
      </c>
      <c r="B17" s="75" t="s">
        <v>38</v>
      </c>
      <c r="C17" s="38">
        <v>12</v>
      </c>
      <c r="D17" s="39">
        <v>7057000</v>
      </c>
      <c r="E17" s="70">
        <v>588083.33</v>
      </c>
      <c r="F17" s="40">
        <f>E17+'ОНО 0116'!F18</f>
        <v>2352333.32</v>
      </c>
      <c r="G17" s="39">
        <f t="shared" si="1"/>
        <v>7057000</v>
      </c>
      <c r="H17" s="41"/>
      <c r="I17" s="41">
        <f t="shared" si="2"/>
        <v>7057000</v>
      </c>
      <c r="J17" s="39">
        <f>'ОНО 0116'!M18</f>
        <v>5292750.01</v>
      </c>
      <c r="K17" s="39" t="str">
        <f t="shared" si="0"/>
        <v> </v>
      </c>
      <c r="L17" s="39">
        <f t="shared" si="3"/>
        <v>588083.33</v>
      </c>
      <c r="M17" s="74">
        <f t="shared" si="4"/>
        <v>4704666.68</v>
      </c>
    </row>
    <row r="18" spans="1:13" ht="12.75">
      <c r="A18" s="79" t="s">
        <v>26</v>
      </c>
      <c r="B18" s="75" t="s">
        <v>38</v>
      </c>
      <c r="C18" s="38">
        <v>12</v>
      </c>
      <c r="D18" s="39">
        <v>96780211.4</v>
      </c>
      <c r="E18" s="70">
        <v>8065017.62</v>
      </c>
      <c r="F18" s="40">
        <f>E18+'ОНО 0116'!F19</f>
        <v>32260070.48</v>
      </c>
      <c r="G18" s="39">
        <f t="shared" si="1"/>
        <v>96780211.4</v>
      </c>
      <c r="H18" s="41"/>
      <c r="I18" s="41">
        <f t="shared" si="2"/>
        <v>96780211.4</v>
      </c>
      <c r="J18" s="39">
        <f>'ОНО 0116'!M19</f>
        <v>72585158.54</v>
      </c>
      <c r="K18" s="39" t="str">
        <f t="shared" si="0"/>
        <v> </v>
      </c>
      <c r="L18" s="39">
        <f t="shared" si="3"/>
        <v>8065017.62</v>
      </c>
      <c r="M18" s="74">
        <f t="shared" si="4"/>
        <v>64520140.92</v>
      </c>
    </row>
    <row r="19" spans="1:13" ht="12.75">
      <c r="A19" s="79" t="s">
        <v>26</v>
      </c>
      <c r="B19" s="75" t="s">
        <v>38</v>
      </c>
      <c r="C19" s="38">
        <v>12</v>
      </c>
      <c r="D19" s="39">
        <v>1943600</v>
      </c>
      <c r="E19" s="70">
        <v>161966.67</v>
      </c>
      <c r="F19" s="40">
        <f>E19+'ОНО 0116'!F20</f>
        <v>647866.68</v>
      </c>
      <c r="G19" s="39">
        <f t="shared" si="1"/>
        <v>1943600</v>
      </c>
      <c r="H19" s="41"/>
      <c r="I19" s="41">
        <f t="shared" si="2"/>
        <v>1943600</v>
      </c>
      <c r="J19" s="39">
        <f>'ОНО 0116'!M20</f>
        <v>1457699.99</v>
      </c>
      <c r="K19" s="39" t="str">
        <f t="shared" si="0"/>
        <v> </v>
      </c>
      <c r="L19" s="39">
        <f t="shared" si="3"/>
        <v>161966.67</v>
      </c>
      <c r="M19" s="74">
        <f t="shared" si="4"/>
        <v>1295733.3199999998</v>
      </c>
    </row>
    <row r="20" spans="1:13" ht="12.75">
      <c r="A20" s="79" t="s">
        <v>26</v>
      </c>
      <c r="B20" s="75" t="s">
        <v>38</v>
      </c>
      <c r="C20" s="38">
        <v>12</v>
      </c>
      <c r="D20" s="39">
        <v>4573278.14</v>
      </c>
      <c r="E20" s="70">
        <v>381106.51</v>
      </c>
      <c r="F20" s="40">
        <f>E20+'ОНО 0116'!F21</f>
        <v>1905532.55</v>
      </c>
      <c r="G20" s="39">
        <f t="shared" si="1"/>
        <v>4573278.14</v>
      </c>
      <c r="H20" s="41"/>
      <c r="I20" s="41">
        <f t="shared" si="2"/>
        <v>4573278.14</v>
      </c>
      <c r="J20" s="39">
        <f>'ОНО 0116'!M21</f>
        <v>3048852.0999999996</v>
      </c>
      <c r="K20" s="39" t="str">
        <f t="shared" si="0"/>
        <v> </v>
      </c>
      <c r="L20" s="39">
        <f t="shared" si="3"/>
        <v>381106.51</v>
      </c>
      <c r="M20" s="74">
        <f t="shared" si="4"/>
        <v>2667745.59</v>
      </c>
    </row>
    <row r="21" spans="1:13" ht="12.75">
      <c r="A21" s="79" t="s">
        <v>32</v>
      </c>
      <c r="B21" s="18" t="s">
        <v>39</v>
      </c>
      <c r="C21" s="19">
        <v>12</v>
      </c>
      <c r="D21" s="4">
        <v>95787.1</v>
      </c>
      <c r="E21" s="70">
        <f>7982.25</f>
        <v>7982.25</v>
      </c>
      <c r="F21" s="40">
        <f>E21+'ОНО 0116'!F22</f>
        <v>23946.75</v>
      </c>
      <c r="G21" s="4">
        <f t="shared" si="1"/>
        <v>95787.1</v>
      </c>
      <c r="H21" s="3"/>
      <c r="I21" s="3">
        <f t="shared" si="2"/>
        <v>95787.1</v>
      </c>
      <c r="J21" s="39">
        <f>'ОНО 0116'!M22</f>
        <v>79822.6</v>
      </c>
      <c r="K21" s="39" t="str">
        <f t="shared" si="0"/>
        <v> </v>
      </c>
      <c r="L21" s="39">
        <f t="shared" si="3"/>
        <v>7982.25</v>
      </c>
      <c r="M21" s="74">
        <f t="shared" si="4"/>
        <v>71840.35</v>
      </c>
    </row>
    <row r="22" spans="1:13" ht="12.75">
      <c r="A22" s="79" t="s">
        <v>26</v>
      </c>
      <c r="B22" s="18" t="s">
        <v>39</v>
      </c>
      <c r="C22" s="19">
        <v>12</v>
      </c>
      <c r="D22" s="4">
        <v>15328388.14</v>
      </c>
      <c r="E22" s="70">
        <v>1277365.67</v>
      </c>
      <c r="F22" s="40">
        <f>E22+'ОНО 0116'!F23</f>
        <v>3832097.01</v>
      </c>
      <c r="G22" s="4">
        <f t="shared" si="1"/>
        <v>15328388.14</v>
      </c>
      <c r="H22" s="3"/>
      <c r="I22" s="3">
        <f t="shared" si="2"/>
        <v>15328388.14</v>
      </c>
      <c r="J22" s="39">
        <f>'ОНО 0116'!M23</f>
        <v>12773656.8</v>
      </c>
      <c r="K22" s="39" t="str">
        <f t="shared" si="0"/>
        <v> </v>
      </c>
      <c r="L22" s="39">
        <f t="shared" si="3"/>
        <v>1277365.67</v>
      </c>
      <c r="M22" s="74">
        <f t="shared" si="4"/>
        <v>11496291.13</v>
      </c>
    </row>
    <row r="23" spans="1:13" ht="12.75">
      <c r="A23" s="79" t="s">
        <v>26</v>
      </c>
      <c r="B23" s="18" t="s">
        <v>39</v>
      </c>
      <c r="C23" s="19">
        <v>12</v>
      </c>
      <c r="D23" s="4">
        <v>10800000</v>
      </c>
      <c r="E23" s="70">
        <v>900000</v>
      </c>
      <c r="F23" s="40">
        <f>E23+'ОНО 0116'!F24</f>
        <v>2700000</v>
      </c>
      <c r="G23" s="4">
        <f t="shared" si="1"/>
        <v>10800000</v>
      </c>
      <c r="H23" s="3"/>
      <c r="I23" s="3">
        <f t="shared" si="2"/>
        <v>10800000</v>
      </c>
      <c r="J23" s="39">
        <f>'ОНО 0116'!M24</f>
        <v>9000000</v>
      </c>
      <c r="K23" s="39" t="str">
        <f t="shared" si="0"/>
        <v> </v>
      </c>
      <c r="L23" s="39">
        <f t="shared" si="3"/>
        <v>900000</v>
      </c>
      <c r="M23" s="74">
        <f t="shared" si="4"/>
        <v>8100000</v>
      </c>
    </row>
    <row r="24" spans="1:13" ht="12.75">
      <c r="A24" s="79" t="s">
        <v>26</v>
      </c>
      <c r="B24" s="18" t="s">
        <v>39</v>
      </c>
      <c r="C24" s="19">
        <v>12</v>
      </c>
      <c r="D24" s="4">
        <v>1320000</v>
      </c>
      <c r="E24" s="70">
        <v>36666.67</v>
      </c>
      <c r="F24" s="40">
        <f>E24+'ОНО 0116'!F25</f>
        <v>110000.01</v>
      </c>
      <c r="G24" s="4">
        <f t="shared" si="1"/>
        <v>1320000</v>
      </c>
      <c r="H24" s="3"/>
      <c r="I24" s="3">
        <f t="shared" si="2"/>
        <v>1320000</v>
      </c>
      <c r="J24" s="39">
        <f>'ОНО 0116'!M25</f>
        <v>1246666.66</v>
      </c>
      <c r="K24" s="39" t="str">
        <f t="shared" si="0"/>
        <v> </v>
      </c>
      <c r="L24" s="39">
        <f>IF((I24-H24-F24+E24)&lt;(I24-F24)," ",(E24-H24))</f>
        <v>36666.67</v>
      </c>
      <c r="M24" s="74">
        <f>IF((F24-I24)&lt;0,(I24-F24)," ")</f>
        <v>1209999.99</v>
      </c>
    </row>
    <row r="25" spans="1:13" ht="12.75">
      <c r="A25" s="2" t="s">
        <v>43</v>
      </c>
      <c r="B25" s="18" t="s">
        <v>39</v>
      </c>
      <c r="C25" s="19">
        <v>48</v>
      </c>
      <c r="D25" s="4">
        <f>245000+240000</f>
        <v>485000</v>
      </c>
      <c r="E25" s="70">
        <f>5052.08+5052.08</f>
        <v>10104.16</v>
      </c>
      <c r="F25" s="40">
        <f>E25+'ОНО 0116'!F26</f>
        <v>131354.08</v>
      </c>
      <c r="G25" s="4">
        <f t="shared" si="1"/>
        <v>485000</v>
      </c>
      <c r="H25" s="3"/>
      <c r="I25" s="3">
        <f t="shared" si="2"/>
        <v>485000</v>
      </c>
      <c r="J25" s="39">
        <f>'ОНО 0116'!M26</f>
        <v>363750.08</v>
      </c>
      <c r="K25" s="39" t="str">
        <f t="shared" si="0"/>
        <v> </v>
      </c>
      <c r="L25" s="39">
        <f>IF((I25-H25-F25+E25)&lt;(I25-F25)," ",(E25-H25))</f>
        <v>10104.16</v>
      </c>
      <c r="M25" s="74">
        <f>IF((F25-I25)&lt;0,(I25-F25)," ")</f>
        <v>353645.92000000004</v>
      </c>
    </row>
    <row r="26" spans="1:13" ht="13.5" thickBot="1">
      <c r="A26" s="15" t="s">
        <v>30</v>
      </c>
      <c r="B26" s="20" t="s">
        <v>47</v>
      </c>
      <c r="C26" s="21">
        <v>12</v>
      </c>
      <c r="D26" s="16">
        <v>6800</v>
      </c>
      <c r="E26" s="68">
        <v>1133.34</v>
      </c>
      <c r="F26" s="52">
        <f>E26</f>
        <v>1133.34</v>
      </c>
      <c r="G26" s="16">
        <f t="shared" si="1"/>
        <v>6800</v>
      </c>
      <c r="H26" s="5">
        <v>6800</v>
      </c>
      <c r="I26" s="5">
        <f t="shared" si="2"/>
        <v>6800</v>
      </c>
      <c r="J26" s="43" t="str">
        <f>'ОНО 0116'!M27</f>
        <v> </v>
      </c>
      <c r="K26" s="43">
        <f t="shared" si="0"/>
        <v>5666.66</v>
      </c>
      <c r="L26" s="43" t="str">
        <f>IF((I26-H26-F26+E26)&lt;(I26-F26)," ",(E26-H26))</f>
        <v> </v>
      </c>
      <c r="M26" s="80">
        <f>IF((F26-I26)&lt;0,(I26-F26)," ")</f>
        <v>5666.66</v>
      </c>
    </row>
    <row r="27" spans="1:13" ht="12.75" hidden="1">
      <c r="A27" s="76"/>
      <c r="B27" s="53"/>
      <c r="C27" s="54"/>
      <c r="D27" s="55"/>
      <c r="E27" s="56"/>
      <c r="F27" s="44"/>
      <c r="G27" s="55"/>
      <c r="H27" s="57"/>
      <c r="I27" s="57"/>
      <c r="J27" s="51"/>
      <c r="K27" s="51"/>
      <c r="L27" s="51"/>
      <c r="M27" s="58"/>
    </row>
    <row r="28" spans="1:13" ht="13.5" hidden="1" thickBot="1">
      <c r="A28" s="2"/>
      <c r="B28" s="53"/>
      <c r="C28" s="54"/>
      <c r="D28" s="55"/>
      <c r="E28" s="56"/>
      <c r="F28" s="44"/>
      <c r="G28" s="55"/>
      <c r="H28" s="57"/>
      <c r="I28" s="57"/>
      <c r="J28" s="51"/>
      <c r="K28" s="51"/>
      <c r="L28" s="51"/>
      <c r="M28" s="58"/>
    </row>
    <row r="29" spans="1:13" ht="13.5" hidden="1" thickBot="1">
      <c r="A29" s="2"/>
      <c r="B29" s="18"/>
      <c r="C29" s="19"/>
      <c r="D29" s="4"/>
      <c r="E29" s="31"/>
      <c r="F29" s="40"/>
      <c r="G29" s="4">
        <f t="shared" si="1"/>
        <v>0</v>
      </c>
      <c r="H29" s="3"/>
      <c r="I29" s="3">
        <f t="shared" si="2"/>
        <v>0</v>
      </c>
      <c r="J29" s="34" t="e">
        <f>#REF!</f>
        <v>#REF!</v>
      </c>
      <c r="K29" s="39" t="str">
        <f t="shared" si="0"/>
        <v> </v>
      </c>
      <c r="L29" s="39">
        <f>IF((I29-H29-F29+E29)&lt;(I29-F29)," ",(E29-H29))</f>
        <v>0</v>
      </c>
      <c r="M29" s="42" t="str">
        <f>IF((F29-I29)&lt;0,(I29-F29)," ")</f>
        <v> </v>
      </c>
    </row>
    <row r="30" spans="1:13" ht="13.5" hidden="1" thickBot="1">
      <c r="A30" s="15"/>
      <c r="B30" s="20"/>
      <c r="C30" s="21"/>
      <c r="D30" s="16"/>
      <c r="E30" s="32"/>
      <c r="F30" s="52" t="e">
        <f>E30+#REF!</f>
        <v>#REF!</v>
      </c>
      <c r="G30" s="16">
        <f t="shared" si="1"/>
        <v>0</v>
      </c>
      <c r="H30" s="5"/>
      <c r="I30" s="5">
        <f t="shared" si="2"/>
        <v>0</v>
      </c>
      <c r="J30" s="34" t="e">
        <f>#REF!</f>
        <v>#REF!</v>
      </c>
      <c r="K30" s="39" t="e">
        <f t="shared" si="0"/>
        <v>#REF!</v>
      </c>
      <c r="L30" s="39" t="e">
        <f>IF((I30-H30-F30+E30)&lt;(I30-F30)," ",(E30-H30))</f>
        <v>#REF!</v>
      </c>
      <c r="M30" s="42" t="e">
        <f>IF((F30-I30)&lt;0,(I30-F30)," ")</f>
        <v>#REF!</v>
      </c>
    </row>
    <row r="31" spans="1:13" ht="13.5" thickBot="1">
      <c r="A31" s="26" t="s">
        <v>12</v>
      </c>
      <c r="B31" s="27"/>
      <c r="C31" s="27"/>
      <c r="D31" s="28">
        <f>SUM(D9:D26)</f>
        <v>162632719.65999997</v>
      </c>
      <c r="E31" s="28">
        <f aca="true" t="shared" si="5" ref="E31:M31">SUM(E9:E26)</f>
        <v>13449647.49</v>
      </c>
      <c r="F31" s="28">
        <f t="shared" si="5"/>
        <v>60723125.46999999</v>
      </c>
      <c r="G31" s="28">
        <f t="shared" si="5"/>
        <v>162632719.65999997</v>
      </c>
      <c r="H31" s="28">
        <f t="shared" si="5"/>
        <v>6800</v>
      </c>
      <c r="I31" s="28">
        <f t="shared" si="5"/>
        <v>162632719.65999997</v>
      </c>
      <c r="J31" s="28">
        <f t="shared" si="5"/>
        <v>115352441.67999998</v>
      </c>
      <c r="K31" s="28">
        <f t="shared" si="5"/>
        <v>5666.66</v>
      </c>
      <c r="L31" s="28">
        <f t="shared" si="5"/>
        <v>13448514.15</v>
      </c>
      <c r="M31" s="28">
        <f t="shared" si="5"/>
        <v>101909594.18999998</v>
      </c>
    </row>
    <row r="32" spans="1:13" ht="13.5" thickBot="1">
      <c r="A32" s="22" t="s">
        <v>6</v>
      </c>
      <c r="B32" s="23"/>
      <c r="C32" s="23"/>
      <c r="D32" s="17">
        <f aca="true" t="shared" si="6" ref="D32:M32">D31*20%</f>
        <v>32526543.931999996</v>
      </c>
      <c r="E32" s="29">
        <f t="shared" si="6"/>
        <v>2689929.498</v>
      </c>
      <c r="F32" s="24">
        <f t="shared" si="6"/>
        <v>12144625.093999999</v>
      </c>
      <c r="G32" s="24">
        <f t="shared" si="6"/>
        <v>32526543.931999996</v>
      </c>
      <c r="H32" s="25">
        <f t="shared" si="6"/>
        <v>1360</v>
      </c>
      <c r="I32" s="24">
        <f t="shared" si="6"/>
        <v>32526543.931999996</v>
      </c>
      <c r="J32" s="24">
        <f t="shared" si="6"/>
        <v>23070488.335999995</v>
      </c>
      <c r="K32" s="25">
        <f t="shared" si="6"/>
        <v>1133.332</v>
      </c>
      <c r="L32" s="24">
        <f>L31*20%</f>
        <v>2689702.83</v>
      </c>
      <c r="M32" s="30">
        <f t="shared" si="6"/>
        <v>20381918.838</v>
      </c>
    </row>
    <row r="33" ht="13.5" thickBot="1"/>
    <row r="34" spans="5:13" ht="13.5" thickBot="1">
      <c r="E34" s="102" t="s">
        <v>23</v>
      </c>
      <c r="F34" s="103"/>
      <c r="G34" s="11">
        <f>K32</f>
        <v>1133.332</v>
      </c>
      <c r="H34" s="13"/>
      <c r="I34" s="104" t="s">
        <v>45</v>
      </c>
      <c r="J34" s="105"/>
      <c r="K34" s="105"/>
      <c r="L34" s="105"/>
      <c r="M34" s="105"/>
    </row>
    <row r="35" spans="1:13" ht="15" thickBot="1">
      <c r="A35" s="106" t="s">
        <v>1</v>
      </c>
      <c r="B35" s="106"/>
      <c r="C35" s="106"/>
      <c r="D35" s="12"/>
      <c r="E35" s="102" t="s">
        <v>7</v>
      </c>
      <c r="F35" s="103"/>
      <c r="G35" s="11">
        <f>L32</f>
        <v>2689702.83</v>
      </c>
      <c r="H35" s="13"/>
      <c r="I35" s="107" t="s">
        <v>46</v>
      </c>
      <c r="J35" s="108"/>
      <c r="K35" s="108"/>
      <c r="L35" s="108"/>
      <c r="M35" s="108"/>
    </row>
    <row r="36" spans="5:14" ht="12.75">
      <c r="E36" s="14" t="s">
        <v>2</v>
      </c>
      <c r="G36" s="6">
        <f>K31*2%</f>
        <v>113.3332</v>
      </c>
      <c r="I36" s="7" t="s">
        <v>4</v>
      </c>
      <c r="K36" s="109">
        <f>L31*2%</f>
        <v>268970.283</v>
      </c>
      <c r="L36" s="109"/>
      <c r="N36" s="10"/>
    </row>
    <row r="37" spans="5:12" ht="12.75">
      <c r="E37" s="110" t="s">
        <v>3</v>
      </c>
      <c r="F37" s="110"/>
      <c r="G37" s="6">
        <f>K31*18%</f>
        <v>1019.9988</v>
      </c>
      <c r="I37" s="111" t="s">
        <v>5</v>
      </c>
      <c r="J37" s="111"/>
      <c r="K37" s="109">
        <f>L31*18%</f>
        <v>2420732.547</v>
      </c>
      <c r="L37" s="109"/>
    </row>
  </sheetData>
  <sheetProtection/>
  <mergeCells count="24">
    <mergeCell ref="A35:C35"/>
    <mergeCell ref="E35:F35"/>
    <mergeCell ref="I35:M35"/>
    <mergeCell ref="K36:L36"/>
    <mergeCell ref="E37:F37"/>
    <mergeCell ref="I37:J37"/>
    <mergeCell ref="K37:L37"/>
    <mergeCell ref="F6:F7"/>
    <mergeCell ref="G6:G7"/>
    <mergeCell ref="H6:H7"/>
    <mergeCell ref="I6:I7"/>
    <mergeCell ref="J6:M6"/>
    <mergeCell ref="E34:F34"/>
    <mergeCell ref="I34:M34"/>
    <mergeCell ref="C2:M2"/>
    <mergeCell ref="F3:I3"/>
    <mergeCell ref="A5:A7"/>
    <mergeCell ref="B5:B7"/>
    <mergeCell ref="C5:C7"/>
    <mergeCell ref="D5:F5"/>
    <mergeCell ref="G5:I5"/>
    <mergeCell ref="J5:M5"/>
    <mergeCell ref="D6:D7"/>
    <mergeCell ref="E6:E7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tabSelected="1" view="pageBreakPreview" zoomScaleSheetLayoutView="100" workbookViewId="0" topLeftCell="A1">
      <selection activeCell="I19" sqref="I19:M19"/>
    </sheetView>
  </sheetViews>
  <sheetFormatPr defaultColWidth="9.00390625" defaultRowHeight="12.75"/>
  <cols>
    <col min="1" max="1" width="16.375" style="0" customWidth="1"/>
    <col min="2" max="2" width="7.875" style="0" customWidth="1"/>
    <col min="3" max="3" width="5.25390625" style="0" customWidth="1"/>
    <col min="4" max="4" width="12.875" style="0" customWidth="1"/>
    <col min="5" max="5" width="10.25390625" style="14" customWidth="1"/>
    <col min="6" max="6" width="10.875" style="0" customWidth="1"/>
    <col min="7" max="7" width="15.625" style="0" customWidth="1"/>
    <col min="8" max="8" width="11.75390625" style="0" bestFit="1" customWidth="1"/>
    <col min="9" max="9" width="12.125" style="0" customWidth="1"/>
    <col min="10" max="10" width="12.75390625" style="0" bestFit="1" customWidth="1"/>
    <col min="11" max="11" width="12.75390625" style="0" customWidth="1"/>
    <col min="12" max="12" width="11.75390625" style="0" bestFit="1" customWidth="1"/>
    <col min="13" max="13" width="11.875" style="0" customWidth="1"/>
    <col min="14" max="16384" width="9.125" style="10" customWidth="1"/>
  </cols>
  <sheetData>
    <row r="1" spans="1:2" ht="19.5" customHeight="1" thickBot="1">
      <c r="A1" s="8"/>
      <c r="B1" s="9"/>
    </row>
    <row r="2" spans="3:13" ht="15.75">
      <c r="C2" s="90" t="s">
        <v>15</v>
      </c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6:9" ht="17.25" customHeight="1">
      <c r="F3" s="90" t="s">
        <v>48</v>
      </c>
      <c r="G3" s="90"/>
      <c r="H3" s="90"/>
      <c r="I3" s="90"/>
    </row>
    <row r="4" spans="1:3" ht="15.75" thickBot="1">
      <c r="A4" s="1" t="s">
        <v>18</v>
      </c>
      <c r="B4" s="1"/>
      <c r="C4" s="1"/>
    </row>
    <row r="5" spans="1:13" ht="12.75">
      <c r="A5" s="91" t="s">
        <v>19</v>
      </c>
      <c r="B5" s="94" t="s">
        <v>20</v>
      </c>
      <c r="C5" s="94" t="s">
        <v>22</v>
      </c>
      <c r="D5" s="94" t="s">
        <v>8</v>
      </c>
      <c r="E5" s="94"/>
      <c r="F5" s="94"/>
      <c r="G5" s="94" t="s">
        <v>9</v>
      </c>
      <c r="H5" s="94"/>
      <c r="I5" s="94"/>
      <c r="J5" s="94" t="s">
        <v>10</v>
      </c>
      <c r="K5" s="94"/>
      <c r="L5" s="94"/>
      <c r="M5" s="97"/>
    </row>
    <row r="6" spans="1:13" ht="12.75">
      <c r="A6" s="92"/>
      <c r="B6" s="95"/>
      <c r="C6" s="95"/>
      <c r="D6" s="95" t="s">
        <v>17</v>
      </c>
      <c r="E6" s="98" t="s">
        <v>13</v>
      </c>
      <c r="F6" s="95" t="s">
        <v>0</v>
      </c>
      <c r="G6" s="95" t="s">
        <v>17</v>
      </c>
      <c r="H6" s="95" t="s">
        <v>13</v>
      </c>
      <c r="I6" s="95" t="s">
        <v>0</v>
      </c>
      <c r="J6" s="95" t="s">
        <v>24</v>
      </c>
      <c r="K6" s="95"/>
      <c r="L6" s="95"/>
      <c r="M6" s="101"/>
    </row>
    <row r="7" spans="1:13" ht="52.5" customHeight="1" thickBot="1">
      <c r="A7" s="93"/>
      <c r="B7" s="96"/>
      <c r="C7" s="96"/>
      <c r="D7" s="96"/>
      <c r="E7" s="99"/>
      <c r="F7" s="96"/>
      <c r="G7" s="96"/>
      <c r="H7" s="96"/>
      <c r="I7" s="100"/>
      <c r="J7" s="45" t="s">
        <v>21</v>
      </c>
      <c r="K7" s="45" t="s">
        <v>14</v>
      </c>
      <c r="L7" s="45" t="s">
        <v>11</v>
      </c>
      <c r="M7" s="46" t="s">
        <v>16</v>
      </c>
    </row>
    <row r="8" spans="1:13" ht="12.75">
      <c r="A8" s="84">
        <v>1</v>
      </c>
      <c r="B8" s="85"/>
      <c r="C8" s="85"/>
      <c r="D8" s="85">
        <v>2</v>
      </c>
      <c r="E8" s="86">
        <v>3</v>
      </c>
      <c r="F8" s="85">
        <v>4</v>
      </c>
      <c r="G8" s="85">
        <v>5</v>
      </c>
      <c r="H8" s="85">
        <v>6</v>
      </c>
      <c r="I8" s="85">
        <v>7</v>
      </c>
      <c r="J8" s="85">
        <v>8</v>
      </c>
      <c r="K8" s="85">
        <v>9</v>
      </c>
      <c r="L8" s="85">
        <v>10</v>
      </c>
      <c r="M8" s="87">
        <v>11</v>
      </c>
    </row>
    <row r="9" spans="1:13" ht="13.5" thickBot="1">
      <c r="A9" s="79" t="s">
        <v>51</v>
      </c>
      <c r="B9" s="75" t="s">
        <v>38</v>
      </c>
      <c r="C9" s="38">
        <v>12</v>
      </c>
      <c r="D9" s="39"/>
      <c r="E9" s="70"/>
      <c r="F9" s="40"/>
      <c r="G9" s="39"/>
      <c r="H9" s="41"/>
      <c r="I9" s="41"/>
      <c r="J9" s="39"/>
      <c r="K9" s="39"/>
      <c r="L9" s="39"/>
      <c r="M9" s="74"/>
    </row>
    <row r="10" spans="1:13" ht="13.5" hidden="1" thickBot="1">
      <c r="A10" s="83"/>
      <c r="B10" s="53"/>
      <c r="C10" s="54"/>
      <c r="D10" s="55"/>
      <c r="E10" s="56"/>
      <c r="F10" s="44"/>
      <c r="G10" s="55"/>
      <c r="H10" s="57"/>
      <c r="I10" s="57"/>
      <c r="J10" s="51"/>
      <c r="K10" s="81"/>
      <c r="L10" s="81"/>
      <c r="M10" s="89"/>
    </row>
    <row r="11" spans="1:13" ht="13.5" hidden="1" thickBot="1">
      <c r="A11" s="82"/>
      <c r="B11" s="53"/>
      <c r="C11" s="54"/>
      <c r="D11" s="55"/>
      <c r="E11" s="56"/>
      <c r="F11" s="40"/>
      <c r="G11" s="55"/>
      <c r="H11" s="57"/>
      <c r="I11" s="57"/>
      <c r="J11" s="39"/>
      <c r="K11" s="43"/>
      <c r="L11" s="43"/>
      <c r="M11" s="88"/>
    </row>
    <row r="12" spans="1:13" ht="13.5" hidden="1" thickBot="1">
      <c r="A12" s="2"/>
      <c r="B12" s="53"/>
      <c r="C12" s="54"/>
      <c r="D12" s="55"/>
      <c r="E12" s="56"/>
      <c r="F12" s="40"/>
      <c r="G12" s="55"/>
      <c r="H12" s="57"/>
      <c r="I12" s="57"/>
      <c r="J12" s="39"/>
      <c r="K12" s="43"/>
      <c r="L12" s="43"/>
      <c r="M12" s="88"/>
    </row>
    <row r="13" spans="1:13" ht="13.5" hidden="1" thickBot="1">
      <c r="A13" s="2"/>
      <c r="B13" s="18"/>
      <c r="C13" s="19"/>
      <c r="D13" s="4"/>
      <c r="E13" s="31"/>
      <c r="F13" s="40"/>
      <c r="G13" s="4"/>
      <c r="H13" s="3"/>
      <c r="I13" s="3"/>
      <c r="J13" s="39"/>
      <c r="K13" s="43"/>
      <c r="L13" s="43"/>
      <c r="M13" s="88"/>
    </row>
    <row r="14" spans="1:13" ht="13.5" hidden="1" thickBot="1">
      <c r="A14" s="15"/>
      <c r="B14" s="20"/>
      <c r="C14" s="21"/>
      <c r="D14" s="16"/>
      <c r="E14" s="32"/>
      <c r="F14" s="40"/>
      <c r="G14" s="16"/>
      <c r="H14" s="5"/>
      <c r="I14" s="5"/>
      <c r="J14" s="39"/>
      <c r="K14" s="39"/>
      <c r="L14" s="39"/>
      <c r="M14" s="74"/>
    </row>
    <row r="15" spans="1:13" ht="13.5" thickBot="1">
      <c r="A15" s="26" t="s">
        <v>12</v>
      </c>
      <c r="B15" s="27"/>
      <c r="C15" s="27"/>
      <c r="D15" s="28"/>
      <c r="E15" s="28"/>
      <c r="F15" s="28"/>
      <c r="G15" s="28"/>
      <c r="H15" s="28"/>
      <c r="I15" s="28"/>
      <c r="J15" s="28"/>
      <c r="K15" s="28"/>
      <c r="L15" s="28"/>
      <c r="M15" s="28"/>
    </row>
    <row r="16" spans="1:13" ht="13.5" thickBot="1">
      <c r="A16" s="22" t="s">
        <v>6</v>
      </c>
      <c r="B16" s="23"/>
      <c r="C16" s="23"/>
      <c r="D16" s="17"/>
      <c r="E16" s="29"/>
      <c r="F16" s="24"/>
      <c r="G16" s="24"/>
      <c r="H16" s="25"/>
      <c r="I16" s="24"/>
      <c r="J16" s="24"/>
      <c r="K16" s="25"/>
      <c r="L16" s="24"/>
      <c r="M16" s="30"/>
    </row>
    <row r="17" ht="13.5" thickBot="1"/>
    <row r="18" spans="5:13" ht="13.5" thickBot="1">
      <c r="E18" s="102" t="s">
        <v>23</v>
      </c>
      <c r="F18" s="103"/>
      <c r="G18" s="11">
        <f>0</f>
        <v>0</v>
      </c>
      <c r="H18" s="13"/>
      <c r="I18" s="104" t="s">
        <v>49</v>
      </c>
      <c r="J18" s="105"/>
      <c r="K18" s="105"/>
      <c r="L18" s="105"/>
      <c r="M18" s="105"/>
    </row>
    <row r="19" spans="1:13" ht="15" thickBot="1">
      <c r="A19" s="106" t="s">
        <v>52</v>
      </c>
      <c r="B19" s="106"/>
      <c r="C19" s="106"/>
      <c r="D19" s="12"/>
      <c r="E19" s="102" t="s">
        <v>7</v>
      </c>
      <c r="F19" s="103"/>
      <c r="G19" s="11">
        <f>L16</f>
        <v>0</v>
      </c>
      <c r="H19" s="13"/>
      <c r="I19" s="107" t="s">
        <v>50</v>
      </c>
      <c r="J19" s="108"/>
      <c r="K19" s="108"/>
      <c r="L19" s="108"/>
      <c r="M19" s="108"/>
    </row>
    <row r="20" spans="5:14" ht="12.75">
      <c r="E20" s="14" t="s">
        <v>2</v>
      </c>
      <c r="G20" s="6">
        <f>K15*2%</f>
        <v>0</v>
      </c>
      <c r="I20" s="7" t="s">
        <v>4</v>
      </c>
      <c r="K20" s="109">
        <f>L15*2%</f>
        <v>0</v>
      </c>
      <c r="L20" s="109"/>
      <c r="N20" s="10"/>
    </row>
    <row r="21" spans="5:12" ht="12.75">
      <c r="E21" s="110" t="s">
        <v>3</v>
      </c>
      <c r="F21" s="110"/>
      <c r="G21" s="6">
        <f>K15*18%</f>
        <v>0</v>
      </c>
      <c r="I21" s="111" t="s">
        <v>5</v>
      </c>
      <c r="J21" s="111"/>
      <c r="K21" s="109">
        <f>L15*18%</f>
        <v>0</v>
      </c>
      <c r="L21" s="109"/>
    </row>
  </sheetData>
  <sheetProtection/>
  <mergeCells count="24">
    <mergeCell ref="A19:C19"/>
    <mergeCell ref="E19:F19"/>
    <mergeCell ref="I19:M19"/>
    <mergeCell ref="K20:L20"/>
    <mergeCell ref="E21:F21"/>
    <mergeCell ref="I21:J21"/>
    <mergeCell ref="K21:L21"/>
    <mergeCell ref="F6:F7"/>
    <mergeCell ref="G6:G7"/>
    <mergeCell ref="H6:H7"/>
    <mergeCell ref="I6:I7"/>
    <mergeCell ref="J6:M6"/>
    <mergeCell ref="E18:F18"/>
    <mergeCell ref="I18:M18"/>
    <mergeCell ref="C2:M2"/>
    <mergeCell ref="F3:I3"/>
    <mergeCell ref="A5:A7"/>
    <mergeCell ref="B5:B7"/>
    <mergeCell ref="C5:C7"/>
    <mergeCell ref="D5:F5"/>
    <mergeCell ref="G5:I5"/>
    <mergeCell ref="J5:M5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Шашкина</dc:creator>
  <cp:keywords/>
  <dc:description/>
  <cp:lastModifiedBy>Юзер</cp:lastModifiedBy>
  <cp:lastPrinted>2016-08-18T10:25:49Z</cp:lastPrinted>
  <dcterms:created xsi:type="dcterms:W3CDTF">2003-10-20T11:11:40Z</dcterms:created>
  <dcterms:modified xsi:type="dcterms:W3CDTF">2016-11-21T11:57:05Z</dcterms:modified>
  <cp:category/>
  <cp:version/>
  <cp:contentType/>
  <cp:contentStatus/>
</cp:coreProperties>
</file>