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ДиР.Контрагенты" sheetId="1" r:id="rId1"/>
    <sheet name="Сущности 1С" sheetId="2" r:id="rId2"/>
  </sheets>
  <definedNames>
    <definedName name="Fin">'ДиР.Контрагенты'!$T$10</definedName>
    <definedName name="Income">'ДиР.Контрагенты'!$T$9</definedName>
    <definedName name="NORM">'ДиР.Контрагенты'!$T$7</definedName>
    <definedName name="Prod">'ДиР.Контрагенты'!$T$8</definedName>
    <definedName name="Rent">'ДиР.Контрагенты'!$W$9</definedName>
    <definedName name="Schedule">'ДиР.Контрагенты'!$W$8</definedName>
    <definedName name="Time">'ДиР.Контрагенты'!$W$10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rFont val="Arial"/>
            <family val="2"/>
          </rPr>
          <t>Клик: переход в карточку заказа</t>
        </r>
      </text>
    </comment>
    <comment ref="B13" authorId="0">
      <text>
        <r>
          <rPr>
            <sz val="10"/>
            <rFont val="Arial"/>
            <family val="2"/>
          </rPr>
          <t>Клик:переход в карточку проекта</t>
        </r>
      </text>
    </comment>
    <comment ref="B34" authorId="0">
      <text>
        <r>
          <rPr>
            <sz val="10"/>
            <rFont val="Arial"/>
            <family val="2"/>
          </rPr>
          <t>Отношение количества проектов «Выполнен» к общему количеству</t>
        </r>
      </text>
    </comment>
    <comment ref="C14" authorId="0">
      <text>
        <r>
          <rPr>
            <sz val="10"/>
            <rFont val="Arial"/>
            <family val="2"/>
          </rPr>
          <t>Иванов — ответственный за заказ, Петров — ответственный за проект. Выводится одно  имя, если совпадают</t>
        </r>
      </text>
    </comment>
    <comment ref="C37" authorId="0">
      <text>
        <r>
          <rPr>
            <sz val="10"/>
            <rFont val="Arial"/>
            <family val="2"/>
          </rPr>
          <t>Помечается, если сумма закрытых актов равна сумме заказа, а статус не «выполнен»</t>
        </r>
      </text>
    </comment>
    <comment ref="D10" authorId="0">
      <text>
        <r>
          <rPr>
            <sz val="10"/>
            <rFont val="Arial"/>
            <family val="2"/>
          </rPr>
          <t>дата заказа</t>
        </r>
      </text>
    </comment>
    <comment ref="D11" authorId="0">
      <text>
        <r>
          <rPr>
            <sz val="10"/>
            <rFont val="Arial"/>
            <family val="2"/>
          </rPr>
          <t>дата проекта</t>
        </r>
      </text>
    </comment>
    <comment ref="E10" authorId="0">
      <text>
        <r>
          <rPr>
            <sz val="10"/>
            <rFont val="Arial"/>
            <family val="2"/>
          </rPr>
          <t>дата отгрузки заказа</t>
        </r>
      </text>
    </comment>
    <comment ref="E11" authorId="0">
      <text>
        <r>
          <rPr>
            <sz val="10"/>
            <rFont val="Arial"/>
            <family val="2"/>
          </rPr>
          <t>дата проекта</t>
        </r>
      </text>
    </comment>
    <comment ref="G10" authorId="0">
      <text>
        <r>
          <rPr>
            <sz val="10"/>
            <rFont val="Arial"/>
            <family val="2"/>
          </rPr>
          <t>Сумма выставленных по заказу счетов (проведенных, не отмеченных на удаление)</t>
        </r>
      </text>
    </comment>
    <comment ref="G11" authorId="0">
      <text>
        <r>
          <rPr>
            <sz val="10"/>
            <rFont val="Arial"/>
            <family val="2"/>
          </rPr>
          <t>Сумма оплат, по счетам выше</t>
        </r>
      </text>
    </comment>
    <comment ref="G12" authorId="0">
      <text>
        <r>
          <rPr>
            <sz val="10"/>
            <rFont val="Arial"/>
            <family val="2"/>
          </rPr>
          <t>Клик:Список счетов по этому заказу</t>
        </r>
      </text>
    </comment>
    <comment ref="G13" authorId="0">
      <text>
        <r>
          <rPr>
            <sz val="10"/>
            <rFont val="Arial"/>
            <family val="2"/>
          </rPr>
          <t>Клик: список оплат по счетам данного заказа (поступления на счет)</t>
        </r>
      </text>
    </comment>
    <comment ref="H10" authorId="0">
      <text>
        <r>
          <rPr>
            <sz val="10"/>
            <rFont val="Arial"/>
            <family val="2"/>
          </rPr>
          <t>сумма закрывающих по этому заказу</t>
        </r>
      </text>
    </comment>
    <comment ref="H11" authorId="0">
      <text>
        <r>
          <rPr>
            <sz val="10"/>
            <rFont val="Arial"/>
            <family val="2"/>
          </rPr>
          <t>сумма закрывающих со статусом «возвращен»</t>
        </r>
      </text>
    </comment>
    <comment ref="H12" authorId="0">
      <text>
        <r>
          <rPr>
            <sz val="10"/>
            <rFont val="Arial"/>
            <family val="2"/>
          </rPr>
          <t>Список актов по данному заказу</t>
        </r>
      </text>
    </comment>
    <comment ref="I10" authorId="0">
      <text>
        <r>
          <rPr>
            <sz val="10"/>
            <rFont val="Arial"/>
            <family val="2"/>
          </rPr>
          <t>доп.реквизит заказа</t>
        </r>
      </text>
    </comment>
    <comment ref="I11" authorId="0">
      <text>
        <r>
          <rPr>
            <sz val="10"/>
            <rFont val="Arial"/>
            <family val="2"/>
          </rPr>
          <t>Сумма оплат по счетам полученным, привязанным к заказам поставщику, привязанных к заказу покупателя</t>
        </r>
      </text>
    </comment>
    <comment ref="I12" authorId="0">
      <text>
        <r>
          <rPr>
            <sz val="10"/>
            <rFont val="Arial"/>
            <family val="2"/>
          </rPr>
          <t>список заказов поставщику по данному заказу</t>
        </r>
      </text>
    </comment>
    <comment ref="J4" authorId="0">
      <text>
        <r>
          <rPr>
            <sz val="10"/>
            <rFont val="Arial"/>
            <family val="2"/>
          </rPr>
          <t>Валовая прибыль ПЛАН</t>
        </r>
      </text>
    </comment>
    <comment ref="J5" authorId="0">
      <text>
        <r>
          <rPr>
            <sz val="10"/>
            <rFont val="Arial"/>
            <family val="2"/>
          </rPr>
          <t>Валовая прибыль ФАКТ</t>
        </r>
      </text>
    </comment>
    <comment ref="J7" authorId="0">
      <text>
        <r>
          <rPr>
            <sz val="10"/>
            <rFont val="Arial"/>
            <family val="2"/>
          </rPr>
          <t>Маржа План по кварталу</t>
        </r>
      </text>
    </comment>
    <comment ref="J8" authorId="0">
      <text>
        <r>
          <rPr>
            <sz val="10"/>
            <rFont val="Arial"/>
            <family val="2"/>
          </rPr>
          <t>Маржа факт по кварталу</t>
        </r>
      </text>
    </comment>
    <comment ref="J9" authorId="0">
      <text>
        <r>
          <rPr>
            <sz val="10"/>
            <rFont val="Arial"/>
            <family val="2"/>
          </rPr>
          <t>Маржа факт по клиенту</t>
        </r>
      </text>
    </comment>
    <comment ref="J27" authorId="0">
      <text>
        <r>
          <rPr>
            <sz val="10"/>
            <rFont val="Arial"/>
            <family val="2"/>
          </rPr>
          <t>помечается, если сумма закрытых актов не равна сумме заказа. Факт рассчитывается, но не участвует в группировках и производных отчетах</t>
        </r>
      </text>
    </comment>
    <comment ref="K10" authorId="0">
      <text>
        <r>
          <rPr>
            <sz val="10"/>
            <rFont val="Arial"/>
            <family val="2"/>
          </rPr>
          <t>доп.реквизит заказа</t>
        </r>
      </text>
    </comment>
    <comment ref="K11" authorId="0">
      <text>
        <r>
          <rPr>
            <sz val="10"/>
            <rFont val="Arial"/>
            <family val="2"/>
          </rPr>
          <t>доп.реквизиты заказа</t>
        </r>
      </text>
    </comment>
    <comment ref="L27" authorId="0">
      <text>
        <r>
          <rPr>
            <sz val="10"/>
            <rFont val="Arial"/>
            <family val="2"/>
          </rPr>
          <t>не считается, если сумма закрытых актов меньше суммы заказа</t>
        </r>
      </text>
    </comment>
    <comment ref="N26" authorId="0">
      <text>
        <r>
          <rPr>
            <sz val="10"/>
            <rFont val="Arial"/>
            <family val="2"/>
          </rPr>
          <t>не считается, пока сумма закрытых актов не равна сумме заказа</t>
        </r>
      </text>
    </comment>
    <comment ref="P26" authorId="0">
      <text>
        <r>
          <rPr>
            <sz val="10"/>
            <rFont val="Arial"/>
            <family val="2"/>
          </rPr>
          <t>не считается, если один из множителей недоступен</t>
        </r>
      </text>
    </comment>
    <comment ref="Q26" authorId="0">
      <text>
        <r>
          <rPr>
            <sz val="10"/>
            <rFont val="Arial"/>
            <family val="2"/>
          </rPr>
          <t>не считается, если один из множителей недоступен</t>
        </r>
      </text>
    </comment>
    <comment ref="S5" authorId="0">
      <text>
        <r>
          <rPr>
            <sz val="10"/>
            <rFont val="Arial"/>
            <family val="2"/>
          </rPr>
          <t>Должна быть возможность редактировать из 1С-Предприятие, без конфигуратора</t>
        </r>
      </text>
    </comment>
    <comment ref="S12" authorId="0">
      <text>
        <r>
          <rPr>
            <sz val="10"/>
            <rFont val="Arial"/>
            <family val="2"/>
          </rPr>
          <t>Максимально удобный интерфейс. См.стандартные отчеты УНФ</t>
        </r>
      </text>
    </comment>
  </commentList>
</comments>
</file>

<file path=xl/sharedStrings.xml><?xml version="1.0" encoding="utf-8"?>
<sst xmlns="http://schemas.openxmlformats.org/spreadsheetml/2006/main" count="185" uniqueCount="121">
  <si>
    <t>Заказ покупателя</t>
  </si>
  <si>
    <t>Ответственный</t>
  </si>
  <si>
    <t>Начало ПЛАН</t>
  </si>
  <si>
    <t>Срок ПЛАН</t>
  </si>
  <si>
    <t>Сумма Заказа</t>
  </si>
  <si>
    <t>Сумма по счетам</t>
  </si>
  <si>
    <t>Сумма по актам</t>
  </si>
  <si>
    <t>Расходы План</t>
  </si>
  <si>
    <t>Маржа План</t>
  </si>
  <si>
    <t>Часы План</t>
  </si>
  <si>
    <t>Нормочас План</t>
  </si>
  <si>
    <t>Доля оплаты</t>
  </si>
  <si>
    <t>Доходность</t>
  </si>
  <si>
    <t>Рентабельность</t>
  </si>
  <si>
    <t>KPI Финансы</t>
  </si>
  <si>
    <t>KPI</t>
  </si>
  <si>
    <t>Наименование проекта</t>
  </si>
  <si>
    <t>Статус</t>
  </si>
  <si>
    <t>Начало ФАКТ</t>
  </si>
  <si>
    <t>Срок ФАКТ</t>
  </si>
  <si>
    <t>Оплачено</t>
  </si>
  <si>
    <t>Закрыто</t>
  </si>
  <si>
    <t>Расходы Факт</t>
  </si>
  <si>
    <t>Маржа Факт</t>
  </si>
  <si>
    <t>Часы Факт</t>
  </si>
  <si>
    <t>Нормочас Факт</t>
  </si>
  <si>
    <t>Дебеторка</t>
  </si>
  <si>
    <t>Сроки</t>
  </si>
  <si>
    <t>Продуктивность</t>
  </si>
  <si>
    <t>KPI Время</t>
  </si>
  <si>
    <t>Итого за период (01.01.2016-31.12.2016)</t>
  </si>
  <si>
    <t>Настройки отчета</t>
  </si>
  <si>
    <t>Нормативы</t>
  </si>
  <si>
    <t>1 квартал</t>
  </si>
  <si>
    <t>Нормочас</t>
  </si>
  <si>
    <t>* Продуктивность</t>
  </si>
  <si>
    <t>+</t>
  </si>
  <si>
    <t>* Сроки</t>
  </si>
  <si>
    <t>ООО «Хороший клиент»</t>
  </si>
  <si>
    <t>Выполнено 100%</t>
  </si>
  <si>
    <t>* Доходность</t>
  </si>
  <si>
    <t>* Рентабельность</t>
  </si>
  <si>
    <t>НФФР-0000001</t>
  </si>
  <si>
    <t>Заказ покупателя №1</t>
  </si>
  <si>
    <t>Иванов Иван</t>
  </si>
  <si>
    <t>KPI Общий</t>
  </si>
  <si>
    <t>* Финансы</t>
  </si>
  <si>
    <t>* Время</t>
  </si>
  <si>
    <t>ООО «Наше юр.лицо»</t>
  </si>
  <si>
    <t>Название проекта</t>
  </si>
  <si>
    <t>Выполнен</t>
  </si>
  <si>
    <t>НФФР-0000002</t>
  </si>
  <si>
    <t>Заказ покупателя №2</t>
  </si>
  <si>
    <t>Фильтры отчета</t>
  </si>
  <si>
    <t>Выбор</t>
  </si>
  <si>
    <t>НФФР-0000003</t>
  </si>
  <si>
    <t>Заказ покупателя №3</t>
  </si>
  <si>
    <t>Иванов Иван/Петров Петр</t>
  </si>
  <si>
    <t>Покупатель</t>
  </si>
  <si>
    <t xml:space="preserve">KPI </t>
  </si>
  <si>
    <t>Диапазон</t>
  </si>
  <si>
    <t>НФФ0-0000001</t>
  </si>
  <si>
    <t>Заказ покупателя №4</t>
  </si>
  <si>
    <t>Период</t>
  </si>
  <si>
    <t>Квартал, Полугодие, Год</t>
  </si>
  <si>
    <t>ИП Юрлицо И.П.</t>
  </si>
  <si>
    <t>Продукт</t>
  </si>
  <si>
    <t>Доп.реквизит Заказа покупателя</t>
  </si>
  <si>
    <t>ООО «Хороший клиент 2»</t>
  </si>
  <si>
    <t xml:space="preserve">Вычисляемые значения и KPI не считаются, если один из параметров формулы недоступен. </t>
  </si>
  <si>
    <t>НФФР-0000004</t>
  </si>
  <si>
    <t>Заказ покупателя №5</t>
  </si>
  <si>
    <t>НФФР-0000005</t>
  </si>
  <si>
    <t>Заказ покупателя №6</t>
  </si>
  <si>
    <t>Петров Петр</t>
  </si>
  <si>
    <t>Если сумма закрытых актов меньше суммы заказа, то невозможно рассчитать Нормочас Факт и все зависимые от него формулы</t>
  </si>
  <si>
    <t>НФФР-0000006</t>
  </si>
  <si>
    <t>Заказ покупателя №7</t>
  </si>
  <si>
    <t>НФФ0-0000002</t>
  </si>
  <si>
    <t>Заказ покупателя №8</t>
  </si>
  <si>
    <t>Если заказ помечен как выполнен, суммы заказа, сумма по счетам, сумма по актам должны быть равны, иначе должна быть индикация ошибки и отсутствие расчета любых KPI</t>
  </si>
  <si>
    <t>НФФР-0000007</t>
  </si>
  <si>
    <t>Заказ покупателя №9</t>
  </si>
  <si>
    <t>Ошибка: Для выполненного заказа сумма заказа, сумма по счетам, сумма по актам должна совпадать</t>
  </si>
  <si>
    <t>В «сумме по актам» и «закрыто» учитываются только акты, дата которых лежит внутри квартала. Если «срок ПЛАН» или «срок ФАКТ» находятся не в одном квартале, заказ размещается в статистике квартала по дате «срок ФАКТ»</t>
  </si>
  <si>
    <t>2 квартал</t>
  </si>
  <si>
    <t>Выполнено 0%</t>
  </si>
  <si>
    <t>В отчет не попадают непроведенные, помеченные на удаление документы</t>
  </si>
  <si>
    <t>НФФР-0000009</t>
  </si>
  <si>
    <t>Заказ покупателя №10</t>
  </si>
  <si>
    <t>В работе</t>
  </si>
  <si>
    <t>НФФ0-0000003</t>
  </si>
  <si>
    <t>Заказ покупателя №11</t>
  </si>
  <si>
    <t>Проекты с ошибками не попадают в расчет KPI и группировок</t>
  </si>
  <si>
    <t>НФФ0-0000004</t>
  </si>
  <si>
    <t>Заказ покупателя №12</t>
  </si>
  <si>
    <t>Ошибка: Сумма заказа и сумма счетов должна совпадать. Выставьте все счета, включая постоплату</t>
  </si>
  <si>
    <t>Заказ покупателя №13</t>
  </si>
  <si>
    <t>Ошибка: Не создан проект для заказа</t>
  </si>
  <si>
    <t>В «Расходы План» попадают заказы покупателя, оформленные в том же квартале. В «Расходы План» попадают оплаты текущего квартала. Если к данному заказу привязаны плановые или фактические расходы другого квартала — необходимо уведомить об этом</t>
  </si>
  <si>
    <t>Заказ покупателя №14</t>
  </si>
  <si>
    <t>Акт считается закрытым, когда его статус «Получен оригинал»</t>
  </si>
  <si>
    <t>Сущность</t>
  </si>
  <si>
    <t>Дополнительные реквизиты</t>
  </si>
  <si>
    <t>Тип данных</t>
  </si>
  <si>
    <t>Особенности</t>
  </si>
  <si>
    <t>Справочник (Наименования услуг)</t>
  </si>
  <si>
    <t>Часы ПЛАН</t>
  </si>
  <si>
    <t>Целое число</t>
  </si>
  <si>
    <t>Добавляются при создании заказа, для изменения требуется отдельная роль</t>
  </si>
  <si>
    <t>Часы ФАКТ</t>
  </si>
  <si>
    <t>Расходы ПЛАН</t>
  </si>
  <si>
    <t>Валюта</t>
  </si>
  <si>
    <t>Проект</t>
  </si>
  <si>
    <t>Сотрудник</t>
  </si>
  <si>
    <t>Акт выполненных работ</t>
  </si>
  <si>
    <t>Справочник (Черновик, согласование, отправка, ... ,Получен оригинал)</t>
  </si>
  <si>
    <t>Счет на оплату</t>
  </si>
  <si>
    <t>Заказ поставщику</t>
  </si>
  <si>
    <t>Счет на оплату полученный</t>
  </si>
  <si>
    <t>1С Предприятие 8.3 (8.3.6.2449) Конфигурация УНФ 1.6.3.11, обновления отключены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</si>
</sst>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0.00%"/>
    <numFmt numFmtId="167" formatCode="DD/MM/YY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6" fontId="1" fillId="0" borderId="0" xfId="0" applyNumberFormat="1" applyFont="1" applyAlignment="1">
      <alignment/>
    </xf>
    <xf numFmtId="164" fontId="0" fillId="0" borderId="0" xfId="0" applyAlignment="1">
      <alignment horizontal="right"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7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7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5" fontId="4" fillId="2" borderId="5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 horizontal="left" vertical="top" wrapText="1"/>
    </xf>
    <xf numFmtId="164" fontId="0" fillId="0" borderId="0" xfId="0" applyFont="1" applyAlignment="1">
      <alignment horizontal="left" vertical="center" wrapText="1"/>
    </xf>
    <xf numFmtId="165" fontId="0" fillId="0" borderId="5" xfId="0" applyNumberFormat="1" applyFont="1" applyFill="1" applyBorder="1" applyAlignment="1">
      <alignment/>
    </xf>
    <xf numFmtId="166" fontId="0" fillId="3" borderId="2" xfId="0" applyNumberFormat="1" applyFill="1" applyBorder="1" applyAlignment="1">
      <alignment/>
    </xf>
    <xf numFmtId="166" fontId="0" fillId="3" borderId="3" xfId="0" applyNumberFormat="1" applyFill="1" applyBorder="1" applyAlignment="1">
      <alignment/>
    </xf>
    <xf numFmtId="166" fontId="1" fillId="3" borderId="0" xfId="0" applyNumberFormat="1" applyFont="1" applyFill="1" applyAlignment="1">
      <alignment/>
    </xf>
    <xf numFmtId="165" fontId="0" fillId="4" borderId="5" xfId="0" applyNumberFormat="1" applyFill="1" applyBorder="1" applyAlignment="1">
      <alignment/>
    </xf>
    <xf numFmtId="165" fontId="0" fillId="3" borderId="5" xfId="0" applyNumberFormat="1" applyFill="1" applyBorder="1" applyAlignment="1">
      <alignment/>
    </xf>
    <xf numFmtId="165" fontId="5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 vertical="center" wrapText="1"/>
    </xf>
    <xf numFmtId="164" fontId="6" fillId="5" borderId="5" xfId="0" applyFont="1" applyFill="1" applyBorder="1" applyAlignment="1">
      <alignment/>
    </xf>
    <xf numFmtId="165" fontId="7" fillId="0" borderId="2" xfId="0" applyNumberFormat="1" applyFont="1" applyBorder="1" applyAlignment="1">
      <alignment/>
    </xf>
    <xf numFmtId="165" fontId="7" fillId="0" borderId="7" xfId="0" applyNumberFormat="1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4" fontId="0" fillId="0" borderId="0" xfId="0" applyFont="1" applyAlignment="1">
      <alignment horizontal="left" vertical="top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110" zoomScaleNormal="110" workbookViewId="0" topLeftCell="A1">
      <selection activeCell="F7" sqref="F7"/>
    </sheetView>
  </sheetViews>
  <sheetFormatPr defaultColWidth="11.421875" defaultRowHeight="12.75"/>
  <cols>
    <col min="1" max="3" width="24.00390625" style="0" customWidth="1"/>
    <col min="4" max="4" width="15.7109375" style="0" customWidth="1"/>
    <col min="5" max="5" width="11.57421875" style="0" customWidth="1"/>
    <col min="6" max="10" width="16.28125" style="1" customWidth="1"/>
    <col min="11" max="11" width="11.57421875" style="0" customWidth="1"/>
    <col min="12" max="12" width="16.28125" style="0" customWidth="1"/>
    <col min="13" max="15" width="14.140625" style="0" customWidth="1"/>
    <col min="16" max="16" width="13.00390625" style="0" customWidth="1"/>
    <col min="17" max="18" width="11.57421875" style="0" customWidth="1"/>
    <col min="19" max="19" width="14.7109375" style="0" customWidth="1"/>
    <col min="20" max="20" width="5.421875" style="0" customWidth="1"/>
    <col min="21" max="21" width="16.28125" style="0" customWidth="1"/>
    <col min="22" max="22" width="3.57421875" style="2" customWidth="1"/>
    <col min="23" max="23" width="5.8515625" style="0" customWidth="1"/>
    <col min="24" max="16384" width="11.57421875" style="0" customWidth="1"/>
  </cols>
  <sheetData>
    <row r="1" spans="1:17" ht="12.75">
      <c r="A1" s="1"/>
      <c r="B1" t="s">
        <v>0</v>
      </c>
      <c r="C1" t="s">
        <v>1</v>
      </c>
      <c r="D1" t="s">
        <v>2</v>
      </c>
      <c r="E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s="2" t="s">
        <v>15</v>
      </c>
    </row>
    <row r="2" spans="2:17" ht="12.75">
      <c r="B2" t="s">
        <v>16</v>
      </c>
      <c r="C2" t="s">
        <v>17</v>
      </c>
      <c r="D2" t="s">
        <v>18</v>
      </c>
      <c r="E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21</v>
      </c>
    </row>
    <row r="3" ht="12.75"/>
    <row r="4" spans="1:17" ht="12.75">
      <c r="A4" t="s">
        <v>30</v>
      </c>
      <c r="F4" s="1">
        <f>F7+F32</f>
        <v>581000</v>
      </c>
      <c r="G4" s="1">
        <f>G7+G32</f>
        <v>388000</v>
      </c>
      <c r="H4" s="1">
        <f>H7+H32</f>
        <v>469000</v>
      </c>
      <c r="J4" s="1">
        <f aca="true" t="shared" si="0" ref="J4:J5">J7+J32</f>
        <v>490000</v>
      </c>
      <c r="M4" s="1">
        <f>M7+M32</f>
        <v>131000</v>
      </c>
      <c r="N4" s="3">
        <f aca="true" t="shared" si="1" ref="N4:N5">AVERAGE(N10,N12,N14,N16,N20,N22,N24,N36)</f>
        <v>0.9116304927948763</v>
      </c>
      <c r="O4" s="3">
        <f aca="true" t="shared" si="2" ref="O4:O5">AVERAGE(O10,O12,O14,O16,O20,O22,O24,O36)</f>
        <v>0.9641917293233084</v>
      </c>
      <c r="P4" s="3">
        <f aca="true" t="shared" si="3" ref="P4:P5">AVERAGE(P10,P12,P14,P16,P20,P22,P24,P36)</f>
        <v>0.9379111110590923</v>
      </c>
      <c r="Q4" s="3">
        <f aca="true" t="shared" si="4" ref="Q4:Q5">AVERAGE(Q10,Q12,Q14,Q16,Q20,Q22,Q24,Q36)</f>
        <v>0.9491204395177387</v>
      </c>
    </row>
    <row r="5" spans="2:19" ht="12.75">
      <c r="B5" s="4"/>
      <c r="J5" s="1">
        <f t="shared" si="0"/>
        <v>367000</v>
      </c>
      <c r="N5" s="3">
        <f t="shared" si="1"/>
        <v>0.8813278209070773</v>
      </c>
      <c r="O5" s="3">
        <f t="shared" si="2"/>
        <v>1.0155388471177944</v>
      </c>
      <c r="P5" s="3">
        <f t="shared" si="3"/>
        <v>0.9752755392545793</v>
      </c>
      <c r="Q5" s="3">
        <f t="shared" si="4"/>
        <v>0.9609375</v>
      </c>
      <c r="S5" t="s">
        <v>31</v>
      </c>
    </row>
    <row r="6" spans="14:19" ht="12.75">
      <c r="N6" s="5"/>
      <c r="O6" s="5"/>
      <c r="P6" s="5"/>
      <c r="Q6" s="5"/>
      <c r="S6" t="s">
        <v>32</v>
      </c>
    </row>
    <row r="7" spans="1:20" ht="12.75">
      <c r="A7" s="6" t="s">
        <v>33</v>
      </c>
      <c r="F7" s="1">
        <f>F9+F19</f>
        <v>421000</v>
      </c>
      <c r="G7" s="1">
        <f>G9+G19</f>
        <v>304500</v>
      </c>
      <c r="H7" s="1">
        <f>H9+H19</f>
        <v>382000</v>
      </c>
      <c r="J7" s="1">
        <f>SUM(J10,J12,J14,J16,J20,J22,J24,J26)</f>
        <v>365000</v>
      </c>
      <c r="M7" s="1">
        <f>M9+M19</f>
        <v>87500</v>
      </c>
      <c r="N7" s="5">
        <f aca="true" t="shared" si="5" ref="N7:N8">AVERAGE(N10,N14,N16,N20,N22,N24,N26,N12)</f>
        <v>0.9051287264594504</v>
      </c>
      <c r="O7" s="5">
        <f aca="true" t="shared" si="6" ref="O7:O8">AVERAGE(O10,O14,O16,O20,O22,O24,O26,O12)</f>
        <v>0.8401176552492343</v>
      </c>
      <c r="P7" s="5">
        <f aca="true" t="shared" si="7" ref="P7:P8">AVERAGE(P10,P14,P16,P20,P22,P24,P26,P12)</f>
        <v>0.9326315948007162</v>
      </c>
      <c r="Q7" s="7">
        <f aca="true" t="shared" si="8" ref="Q7:Q8">AVERAGE(Q10,Q14,Q16,Q20,Q22,Q24,Q26,Q12)</f>
        <v>0.9503651583906432</v>
      </c>
      <c r="S7" t="s">
        <v>34</v>
      </c>
      <c r="T7">
        <v>1500</v>
      </c>
    </row>
    <row r="8" spans="1:24" ht="12.75">
      <c r="A8" s="6"/>
      <c r="J8" s="1">
        <f>SUM(J9,J19)</f>
        <v>300000</v>
      </c>
      <c r="N8" s="5">
        <f t="shared" si="5"/>
        <v>0.909389045396873</v>
      </c>
      <c r="O8" s="5">
        <f t="shared" si="6"/>
        <v>0.9905388471177944</v>
      </c>
      <c r="P8" s="5">
        <f t="shared" si="7"/>
        <v>0.9661939066015183</v>
      </c>
      <c r="Q8" s="5">
        <f t="shared" si="8"/>
        <v>0.8760204081632653</v>
      </c>
      <c r="S8" t="s">
        <v>29</v>
      </c>
      <c r="T8">
        <v>0.7</v>
      </c>
      <c r="U8" t="s">
        <v>35</v>
      </c>
      <c r="V8" s="2" t="s">
        <v>36</v>
      </c>
      <c r="W8">
        <v>0.30000000000000004</v>
      </c>
      <c r="X8" t="s">
        <v>37</v>
      </c>
    </row>
    <row r="9" spans="1:24" ht="12.75">
      <c r="A9" s="8" t="s">
        <v>38</v>
      </c>
      <c r="B9" s="8" t="s">
        <v>39</v>
      </c>
      <c r="C9" s="8"/>
      <c r="D9" s="8"/>
      <c r="E9" s="8"/>
      <c r="F9" s="9">
        <f>SUM(F10:F17)</f>
        <v>287000</v>
      </c>
      <c r="G9" s="9">
        <f>SUM(G11,G13,G15,G17)</f>
        <v>199500</v>
      </c>
      <c r="H9" s="9">
        <f>SUM(H11,H13,H15,H17)</f>
        <v>287000</v>
      </c>
      <c r="I9" s="9"/>
      <c r="J9" s="9">
        <f>SUM(J11,J13,J15,J17)</f>
        <v>231500</v>
      </c>
      <c r="K9" s="8"/>
      <c r="L9" s="8"/>
      <c r="M9" s="9">
        <f>SUM(M11,M13,M15,M17)</f>
        <v>87500</v>
      </c>
      <c r="N9" s="8"/>
      <c r="O9" s="8"/>
      <c r="P9" s="8"/>
      <c r="Q9" s="10">
        <f>AVERAGE(Q10,Q12,Q14,Q16)</f>
        <v>0.8749228511562559</v>
      </c>
      <c r="S9" t="s">
        <v>14</v>
      </c>
      <c r="T9">
        <v>0.5</v>
      </c>
      <c r="U9" t="s">
        <v>40</v>
      </c>
      <c r="V9" s="2" t="s">
        <v>36</v>
      </c>
      <c r="W9">
        <v>0.5</v>
      </c>
      <c r="X9" t="s">
        <v>41</v>
      </c>
    </row>
    <row r="10" spans="1:24" ht="12.75">
      <c r="A10" s="11" t="s">
        <v>42</v>
      </c>
      <c r="B10" s="12" t="s">
        <v>43</v>
      </c>
      <c r="C10" s="12" t="s">
        <v>44</v>
      </c>
      <c r="D10" s="13">
        <v>42370</v>
      </c>
      <c r="E10" s="13">
        <v>42430</v>
      </c>
      <c r="F10" s="14">
        <v>25000</v>
      </c>
      <c r="G10" s="14">
        <v>25000</v>
      </c>
      <c r="H10" s="14">
        <v>25000</v>
      </c>
      <c r="I10" s="14">
        <v>3000</v>
      </c>
      <c r="J10" s="14">
        <f>F10-I10</f>
        <v>22000</v>
      </c>
      <c r="K10" s="12">
        <v>20</v>
      </c>
      <c r="L10" s="14">
        <f aca="true" t="shared" si="9" ref="L10:L17">J10/K10</f>
        <v>1100</v>
      </c>
      <c r="M10" s="15">
        <f>G11/G10</f>
        <v>1</v>
      </c>
      <c r="N10" s="15">
        <f>J11/J10</f>
        <v>0.9772727272727273</v>
      </c>
      <c r="O10" s="15">
        <f>L11/NORM</f>
        <v>0.7543859649122807</v>
      </c>
      <c r="P10" s="16">
        <f>N10*Income+O10*Rent</f>
        <v>0.865829346092504</v>
      </c>
      <c r="Q10" s="3">
        <f>Fin*P10+Time*P11</f>
        <v>0.9011057765834263</v>
      </c>
      <c r="S10" t="s">
        <v>45</v>
      </c>
      <c r="T10">
        <v>0.7</v>
      </c>
      <c r="U10" t="s">
        <v>46</v>
      </c>
      <c r="V10" s="2" t="s">
        <v>36</v>
      </c>
      <c r="W10">
        <v>0.30000000000000004</v>
      </c>
      <c r="X10" t="s">
        <v>47</v>
      </c>
    </row>
    <row r="11" spans="1:17" ht="12.75">
      <c r="A11" s="17" t="s">
        <v>48</v>
      </c>
      <c r="B11" s="18" t="s">
        <v>49</v>
      </c>
      <c r="C11" s="18" t="s">
        <v>50</v>
      </c>
      <c r="D11" s="19">
        <v>42381</v>
      </c>
      <c r="E11" s="19">
        <v>42454</v>
      </c>
      <c r="F11" s="20"/>
      <c r="G11" s="20">
        <v>25000</v>
      </c>
      <c r="H11" s="20">
        <v>25000</v>
      </c>
      <c r="I11" s="20">
        <v>3500</v>
      </c>
      <c r="J11" s="20">
        <f>H11-I11</f>
        <v>21500</v>
      </c>
      <c r="K11" s="18">
        <v>19</v>
      </c>
      <c r="L11" s="20">
        <f t="shared" si="9"/>
        <v>1131.578947368421</v>
      </c>
      <c r="M11" s="20">
        <f>IF(H11-G11&gt;0,H11-G11,0)</f>
        <v>0</v>
      </c>
      <c r="N11" s="21">
        <f>DATEDIF(D10,E10,"d")/DATEDIF(D11,E11,"d")</f>
        <v>0.821917808219178</v>
      </c>
      <c r="O11" s="21">
        <f>K10/K11</f>
        <v>1.0526315789473684</v>
      </c>
      <c r="P11" s="22">
        <f>N11*Schedule+O11*Prod</f>
        <v>0.9834174477289114</v>
      </c>
      <c r="Q11" s="5">
        <f>H11/F10</f>
        <v>1</v>
      </c>
    </row>
    <row r="12" spans="1:19" ht="12.75">
      <c r="A12" s="11" t="s">
        <v>51</v>
      </c>
      <c r="B12" s="12" t="s">
        <v>52</v>
      </c>
      <c r="C12" s="12" t="s">
        <v>44</v>
      </c>
      <c r="D12" s="13">
        <v>42370</v>
      </c>
      <c r="E12" s="13">
        <v>42430</v>
      </c>
      <c r="F12" s="14">
        <v>88000</v>
      </c>
      <c r="G12" s="14">
        <v>88000</v>
      </c>
      <c r="H12" s="14">
        <v>88000</v>
      </c>
      <c r="I12" s="14">
        <v>15000</v>
      </c>
      <c r="J12" s="14">
        <f>F12-I12</f>
        <v>73000</v>
      </c>
      <c r="K12" s="12">
        <v>86</v>
      </c>
      <c r="L12" s="14">
        <f t="shared" si="9"/>
        <v>848.8372093023256</v>
      </c>
      <c r="M12" s="15">
        <f>G13/G12</f>
        <v>0.5</v>
      </c>
      <c r="N12" s="15">
        <f>J13/J12</f>
        <v>1.0410958904109588</v>
      </c>
      <c r="O12" s="15">
        <f>L13/NORM</f>
        <v>0.48253968253968255</v>
      </c>
      <c r="P12" s="16">
        <f>N12*Income+O12*Rent</f>
        <v>0.7618177864753207</v>
      </c>
      <c r="Q12" s="3">
        <f>Fin*P12+Time*P13</f>
        <v>0.7792450532724506</v>
      </c>
      <c r="S12" t="s">
        <v>53</v>
      </c>
    </row>
    <row r="13" spans="1:22" ht="12.75">
      <c r="A13" s="17" t="s">
        <v>48</v>
      </c>
      <c r="B13" s="18" t="s">
        <v>49</v>
      </c>
      <c r="C13" s="18" t="s">
        <v>50</v>
      </c>
      <c r="D13" s="19">
        <v>42381</v>
      </c>
      <c r="E13" s="19">
        <v>42454</v>
      </c>
      <c r="F13" s="20"/>
      <c r="G13" s="20">
        <v>44000</v>
      </c>
      <c r="H13" s="20">
        <v>88000</v>
      </c>
      <c r="I13" s="20">
        <v>12000</v>
      </c>
      <c r="J13" s="20">
        <f>H13-I13</f>
        <v>76000</v>
      </c>
      <c r="K13" s="18">
        <v>105</v>
      </c>
      <c r="L13" s="20">
        <f t="shared" si="9"/>
        <v>723.8095238095239</v>
      </c>
      <c r="M13" s="23">
        <f>IF(H13-G13&gt;0,H13-G13,0)</f>
        <v>44000</v>
      </c>
      <c r="N13" s="21">
        <f>DATEDIF(D12,E12,"d")/DATEDIF(D13,E13,"d")</f>
        <v>0.821917808219178</v>
      </c>
      <c r="O13" s="21">
        <f>K12/K13</f>
        <v>0.819047619047619</v>
      </c>
      <c r="P13" s="22">
        <f>N13*Schedule+O13*Prod</f>
        <v>0.8199086757990868</v>
      </c>
      <c r="Q13" s="5">
        <f>H13/F12</f>
        <v>1</v>
      </c>
      <c r="S13" t="s">
        <v>1</v>
      </c>
      <c r="U13" t="s">
        <v>54</v>
      </c>
      <c r="V13"/>
    </row>
    <row r="14" spans="1:22" ht="12.75">
      <c r="A14" s="11" t="s">
        <v>55</v>
      </c>
      <c r="B14" s="12" t="s">
        <v>56</v>
      </c>
      <c r="C14" s="12" t="s">
        <v>57</v>
      </c>
      <c r="D14" s="13">
        <v>42370</v>
      </c>
      <c r="E14" s="13">
        <v>42430</v>
      </c>
      <c r="F14" s="24">
        <v>87000</v>
      </c>
      <c r="G14" s="24">
        <v>87000</v>
      </c>
      <c r="H14" s="24">
        <v>87000</v>
      </c>
      <c r="I14" s="14">
        <v>10000</v>
      </c>
      <c r="J14" s="14">
        <f>F14-I14</f>
        <v>77000</v>
      </c>
      <c r="K14" s="12">
        <v>36</v>
      </c>
      <c r="L14" s="14">
        <f t="shared" si="9"/>
        <v>2138.8888888888887</v>
      </c>
      <c r="M14" s="15">
        <f>G15/G14</f>
        <v>0.5</v>
      </c>
      <c r="N14" s="15">
        <f>J15/J14</f>
        <v>0.8701298701298701</v>
      </c>
      <c r="O14" s="15">
        <f>L15/NORM</f>
        <v>0.9925925925925926</v>
      </c>
      <c r="P14" s="16">
        <f>N14*Income+O14*Rent</f>
        <v>0.9313612313612314</v>
      </c>
      <c r="Q14" s="3">
        <f>Fin*P14+Time*P15</f>
        <v>0.8891836311836314</v>
      </c>
      <c r="S14" t="s">
        <v>58</v>
      </c>
      <c r="U14" t="s">
        <v>54</v>
      </c>
      <c r="V14"/>
    </row>
    <row r="15" spans="1:22" ht="12.75">
      <c r="A15" s="17" t="s">
        <v>48</v>
      </c>
      <c r="B15" s="18" t="s">
        <v>49</v>
      </c>
      <c r="C15" s="18" t="s">
        <v>50</v>
      </c>
      <c r="D15" s="19">
        <v>42381</v>
      </c>
      <c r="E15" s="19">
        <v>42459</v>
      </c>
      <c r="F15" s="20"/>
      <c r="G15" s="20">
        <v>43500</v>
      </c>
      <c r="H15" s="20">
        <v>87000</v>
      </c>
      <c r="I15" s="20">
        <v>20000</v>
      </c>
      <c r="J15" s="20">
        <f>H15-I15</f>
        <v>67000</v>
      </c>
      <c r="K15" s="18">
        <v>45</v>
      </c>
      <c r="L15" s="20">
        <f t="shared" si="9"/>
        <v>1488.888888888889</v>
      </c>
      <c r="M15" s="23">
        <f>IF(H15-G15&gt;0,H15-G15,0)</f>
        <v>43500</v>
      </c>
      <c r="N15" s="21">
        <f>DATEDIF(D14,E14,"d")/DATEDIF(D15,E15,"d")</f>
        <v>0.7692307692307693</v>
      </c>
      <c r="O15" s="21">
        <f>K14/K15</f>
        <v>0.8</v>
      </c>
      <c r="P15" s="22">
        <f>N15*Schedule+O15*Prod</f>
        <v>0.7907692307692309</v>
      </c>
      <c r="Q15" s="5">
        <f>H15/F14</f>
        <v>1</v>
      </c>
      <c r="S15" t="s">
        <v>59</v>
      </c>
      <c r="U15" t="s">
        <v>60</v>
      </c>
      <c r="V15"/>
    </row>
    <row r="16" spans="1:22" ht="12.75">
      <c r="A16" s="11" t="s">
        <v>61</v>
      </c>
      <c r="B16" s="12" t="s">
        <v>62</v>
      </c>
      <c r="C16" s="12" t="s">
        <v>44</v>
      </c>
      <c r="D16" s="13">
        <v>42370</v>
      </c>
      <c r="E16" s="13">
        <v>42430</v>
      </c>
      <c r="F16" s="24">
        <v>87000</v>
      </c>
      <c r="G16" s="24">
        <v>87000</v>
      </c>
      <c r="H16" s="24">
        <v>87000</v>
      </c>
      <c r="I16" s="14">
        <v>10000</v>
      </c>
      <c r="J16" s="14">
        <f>F16-I16</f>
        <v>77000</v>
      </c>
      <c r="K16" s="12">
        <v>36</v>
      </c>
      <c r="L16" s="14">
        <f t="shared" si="9"/>
        <v>2138.8888888888887</v>
      </c>
      <c r="M16" s="15">
        <f>G17/G16</f>
        <v>1</v>
      </c>
      <c r="N16" s="15">
        <f>J17/J16</f>
        <v>0.8701298701298701</v>
      </c>
      <c r="O16" s="15">
        <f>L17/NORM</f>
        <v>0.9925925925925926</v>
      </c>
      <c r="P16" s="16">
        <f>N16*Income+O16*Rent</f>
        <v>0.9313612313612314</v>
      </c>
      <c r="Q16" s="3">
        <f>Fin*P16+Time*P17</f>
        <v>0.9301569435855153</v>
      </c>
      <c r="S16" t="s">
        <v>63</v>
      </c>
      <c r="U16" t="s">
        <v>64</v>
      </c>
      <c r="V16"/>
    </row>
    <row r="17" spans="1:22" ht="12.75">
      <c r="A17" s="17" t="s">
        <v>65</v>
      </c>
      <c r="B17" s="18" t="s">
        <v>49</v>
      </c>
      <c r="C17" s="18" t="s">
        <v>50</v>
      </c>
      <c r="D17" s="19">
        <v>42381</v>
      </c>
      <c r="E17" s="19">
        <v>42430</v>
      </c>
      <c r="F17" s="20"/>
      <c r="G17" s="20">
        <v>87000</v>
      </c>
      <c r="H17" s="20">
        <v>87000</v>
      </c>
      <c r="I17" s="20">
        <v>20000</v>
      </c>
      <c r="J17" s="20">
        <f>H17-I17</f>
        <v>67000</v>
      </c>
      <c r="K17" s="18">
        <v>45</v>
      </c>
      <c r="L17" s="20">
        <f t="shared" si="9"/>
        <v>1488.888888888889</v>
      </c>
      <c r="M17" s="20">
        <f>IF(H17-G17&gt;0,H17-G17,0)</f>
        <v>0</v>
      </c>
      <c r="N17" s="21">
        <f>DATEDIF(D16,E16,"d")/DATEDIF(D17,E17,"d")</f>
        <v>1.2244897959183674</v>
      </c>
      <c r="O17" s="21">
        <f>K16/K17</f>
        <v>0.8</v>
      </c>
      <c r="P17" s="22">
        <f>N17*Schedule+O17*Prod</f>
        <v>0.9273469387755103</v>
      </c>
      <c r="Q17" s="5">
        <f>H17/F16</f>
        <v>1</v>
      </c>
      <c r="S17" t="s">
        <v>66</v>
      </c>
      <c r="U17" t="s">
        <v>67</v>
      </c>
      <c r="V17"/>
    </row>
    <row r="18" spans="1:16" ht="12.75">
      <c r="A18" s="25"/>
      <c r="B18" s="25"/>
      <c r="C18" s="25"/>
      <c r="D18" s="26"/>
      <c r="E18" s="26"/>
      <c r="F18" s="27"/>
      <c r="G18" s="27"/>
      <c r="H18" s="27"/>
      <c r="I18" s="27"/>
      <c r="J18" s="27"/>
      <c r="K18" s="25"/>
      <c r="L18" s="27"/>
      <c r="M18" s="27"/>
      <c r="N18" s="28"/>
      <c r="O18" s="28"/>
      <c r="P18" s="28"/>
    </row>
    <row r="19" spans="1:24" ht="12.75" customHeight="1">
      <c r="A19" s="8" t="s">
        <v>68</v>
      </c>
      <c r="B19" s="8" t="s">
        <v>39</v>
      </c>
      <c r="C19" s="8"/>
      <c r="D19" s="8"/>
      <c r="E19" s="8"/>
      <c r="F19" s="9">
        <f>SUM(F20:F27)</f>
        <v>134000</v>
      </c>
      <c r="G19" s="9">
        <f>SUM(G21,G23,G25,G27)</f>
        <v>105000</v>
      </c>
      <c r="H19" s="9">
        <f>SUM(H21,H23,H25,H27)</f>
        <v>95000</v>
      </c>
      <c r="I19" s="9"/>
      <c r="J19" s="9">
        <f>SUM(J21,J23,J25)</f>
        <v>68500</v>
      </c>
      <c r="K19" s="8"/>
      <c r="L19" s="8"/>
      <c r="M19" s="9">
        <f>SUM(M21,M23,M25,M27)</f>
        <v>0</v>
      </c>
      <c r="N19" s="8"/>
      <c r="O19" s="8"/>
      <c r="P19" s="8"/>
      <c r="Q19" s="10">
        <f>AVERAGE(Q20,Q22,Q24,Q26)</f>
        <v>1.0509549013698258</v>
      </c>
      <c r="S19" s="29" t="s">
        <v>69</v>
      </c>
      <c r="T19" s="29"/>
      <c r="U19" s="29"/>
      <c r="V19" s="29"/>
      <c r="W19" s="29"/>
      <c r="X19" s="29"/>
    </row>
    <row r="20" spans="1:24" ht="12.75">
      <c r="A20" s="11" t="s">
        <v>70</v>
      </c>
      <c r="B20" s="12" t="s">
        <v>71</v>
      </c>
      <c r="C20" s="12" t="s">
        <v>44</v>
      </c>
      <c r="D20" s="13">
        <v>42370</v>
      </c>
      <c r="E20" s="13">
        <v>42430</v>
      </c>
      <c r="F20" s="14">
        <v>25000</v>
      </c>
      <c r="G20" s="14">
        <v>25000</v>
      </c>
      <c r="H20" s="14">
        <v>25000</v>
      </c>
      <c r="I20" s="14">
        <v>3000</v>
      </c>
      <c r="J20" s="14">
        <f>F20-I20</f>
        <v>22000</v>
      </c>
      <c r="K20" s="12">
        <v>20</v>
      </c>
      <c r="L20" s="14">
        <f aca="true" t="shared" si="10" ref="L20:L26">J20/K20</f>
        <v>1100</v>
      </c>
      <c r="M20" s="15">
        <f>G21/G20</f>
        <v>1</v>
      </c>
      <c r="N20" s="15">
        <f>J21/J20</f>
        <v>0.9772727272727273</v>
      </c>
      <c r="O20" s="15">
        <f>L21/NORM</f>
        <v>0.7543859649122807</v>
      </c>
      <c r="P20" s="16">
        <f>N20*Income+O20*Rent</f>
        <v>0.865829346092504</v>
      </c>
      <c r="Q20" s="3">
        <f>Fin*P20+Time*P21</f>
        <v>0.9011057765834263</v>
      </c>
      <c r="S20" s="29"/>
      <c r="T20" s="29"/>
      <c r="U20" s="29"/>
      <c r="V20" s="29"/>
      <c r="W20" s="29"/>
      <c r="X20" s="29"/>
    </row>
    <row r="21" spans="1:24" ht="12.75">
      <c r="A21" s="17" t="s">
        <v>48</v>
      </c>
      <c r="B21" s="18" t="s">
        <v>49</v>
      </c>
      <c r="C21" s="18" t="s">
        <v>50</v>
      </c>
      <c r="D21" s="19">
        <v>42381</v>
      </c>
      <c r="E21" s="19">
        <v>42454</v>
      </c>
      <c r="F21" s="20"/>
      <c r="G21" s="20">
        <v>25000</v>
      </c>
      <c r="H21" s="20">
        <v>25000</v>
      </c>
      <c r="I21" s="20">
        <v>3500</v>
      </c>
      <c r="J21" s="20">
        <f>H21-I21</f>
        <v>21500</v>
      </c>
      <c r="K21" s="18">
        <v>19</v>
      </c>
      <c r="L21" s="20">
        <f t="shared" si="10"/>
        <v>1131.578947368421</v>
      </c>
      <c r="M21" s="20">
        <f>IF(H21-G21&gt;0,H21-G21,0)</f>
        <v>0</v>
      </c>
      <c r="N21" s="21">
        <f>DATEDIF(D20,E20,"d")/DATEDIF(D21,E21,"d")</f>
        <v>0.821917808219178</v>
      </c>
      <c r="O21" s="21">
        <f>K20/K21</f>
        <v>1.0526315789473684</v>
      </c>
      <c r="P21" s="22">
        <f>N21*Schedule+O21*Prod</f>
        <v>0.9834174477289114</v>
      </c>
      <c r="Q21" s="5">
        <f>H21/F20</f>
        <v>1</v>
      </c>
      <c r="S21" s="29"/>
      <c r="T21" s="29"/>
      <c r="U21" s="29"/>
      <c r="V21" s="29"/>
      <c r="W21" s="29"/>
      <c r="X21" s="29"/>
    </row>
    <row r="22" spans="1:24" ht="12.75" customHeight="1">
      <c r="A22" s="11" t="s">
        <v>72</v>
      </c>
      <c r="B22" s="12" t="s">
        <v>73</v>
      </c>
      <c r="C22" s="12" t="s">
        <v>74</v>
      </c>
      <c r="D22" s="13">
        <v>42370</v>
      </c>
      <c r="E22" s="13">
        <v>42430</v>
      </c>
      <c r="F22" s="14">
        <v>35000</v>
      </c>
      <c r="G22" s="14">
        <v>35000</v>
      </c>
      <c r="H22" s="14">
        <v>35000</v>
      </c>
      <c r="I22" s="14">
        <v>0</v>
      </c>
      <c r="J22" s="14">
        <f>F22-I22</f>
        <v>35000</v>
      </c>
      <c r="K22" s="12">
        <v>12</v>
      </c>
      <c r="L22" s="14">
        <f t="shared" si="10"/>
        <v>2916.6666666666665</v>
      </c>
      <c r="M22" s="15">
        <f>G23/G22</f>
        <v>1</v>
      </c>
      <c r="N22" s="15">
        <f>J23/J22</f>
        <v>1</v>
      </c>
      <c r="O22" s="15">
        <f>L23/NORM</f>
        <v>1.9444444444444444</v>
      </c>
      <c r="P22" s="16">
        <f>N22*Income+O22*Rent</f>
        <v>1.4722222222222223</v>
      </c>
      <c r="Q22" s="3">
        <f>Fin*P22+Time*P23</f>
        <v>1.3145281582952817</v>
      </c>
      <c r="S22" s="30" t="s">
        <v>75</v>
      </c>
      <c r="T22" s="30"/>
      <c r="U22" s="30"/>
      <c r="V22" s="30"/>
      <c r="W22" s="30"/>
      <c r="X22" s="30"/>
    </row>
    <row r="23" spans="1:24" ht="12.75">
      <c r="A23" s="17" t="s">
        <v>48</v>
      </c>
      <c r="B23" s="18" t="s">
        <v>49</v>
      </c>
      <c r="C23" s="18" t="s">
        <v>50</v>
      </c>
      <c r="D23" s="19">
        <v>42381</v>
      </c>
      <c r="E23" s="19">
        <v>42454</v>
      </c>
      <c r="F23" s="20"/>
      <c r="G23" s="20">
        <v>35000</v>
      </c>
      <c r="H23" s="20">
        <v>35000</v>
      </c>
      <c r="I23" s="20">
        <v>0</v>
      </c>
      <c r="J23" s="20">
        <f>H23-I23</f>
        <v>35000</v>
      </c>
      <c r="K23" s="18">
        <v>12</v>
      </c>
      <c r="L23" s="20">
        <f t="shared" si="10"/>
        <v>2916.6666666666665</v>
      </c>
      <c r="M23" s="31">
        <f>IF(H23-G23&gt;0,H23-G23,0)</f>
        <v>0</v>
      </c>
      <c r="N23" s="21">
        <f>DATEDIF(D22,E22,"d")/DATEDIF(D23,E23,"d")</f>
        <v>0.821917808219178</v>
      </c>
      <c r="O23" s="21">
        <f>K22/K23</f>
        <v>1</v>
      </c>
      <c r="P23" s="22">
        <f>N23*Schedule+O23*Prod</f>
        <v>0.9465753424657535</v>
      </c>
      <c r="Q23" s="5">
        <f>H23/F22</f>
        <v>1</v>
      </c>
      <c r="S23" s="30"/>
      <c r="T23" s="30"/>
      <c r="U23" s="30"/>
      <c r="V23" s="30"/>
      <c r="W23" s="30"/>
      <c r="X23" s="30"/>
    </row>
    <row r="24" spans="1:24" ht="12.75">
      <c r="A24" s="11" t="s">
        <v>76</v>
      </c>
      <c r="B24" s="12" t="s">
        <v>77</v>
      </c>
      <c r="C24" s="12" t="s">
        <v>74</v>
      </c>
      <c r="D24" s="13">
        <v>42370</v>
      </c>
      <c r="E24" s="13">
        <v>42430</v>
      </c>
      <c r="F24" s="24">
        <v>25000</v>
      </c>
      <c r="G24" s="24">
        <v>25000</v>
      </c>
      <c r="H24" s="24">
        <v>25000</v>
      </c>
      <c r="I24" s="14">
        <v>5000</v>
      </c>
      <c r="J24" s="14">
        <f>F24-I24</f>
        <v>20000</v>
      </c>
      <c r="K24" s="12">
        <v>18</v>
      </c>
      <c r="L24" s="14">
        <f t="shared" si="10"/>
        <v>1111.111111111111</v>
      </c>
      <c r="M24" s="15">
        <f>G25/G24</f>
        <v>1</v>
      </c>
      <c r="N24" s="15">
        <f>J25/J24</f>
        <v>0.6</v>
      </c>
      <c r="O24" s="15">
        <f>L25/NORM</f>
        <v>0.8</v>
      </c>
      <c r="P24" s="16">
        <f>N24*Income+O24*Rent</f>
        <v>0.7</v>
      </c>
      <c r="Q24" s="3">
        <f>Fin*P24+Time*P25</f>
        <v>0.9372307692307693</v>
      </c>
      <c r="S24" s="30"/>
      <c r="T24" s="30"/>
      <c r="U24" s="30"/>
      <c r="V24" s="30"/>
      <c r="W24" s="30"/>
      <c r="X24" s="30"/>
    </row>
    <row r="25" spans="1:17" ht="12.75">
      <c r="A25" s="17" t="s">
        <v>48</v>
      </c>
      <c r="B25" s="18" t="s">
        <v>49</v>
      </c>
      <c r="C25" s="18" t="s">
        <v>50</v>
      </c>
      <c r="D25" s="19">
        <v>42381</v>
      </c>
      <c r="E25" s="19">
        <v>42459</v>
      </c>
      <c r="F25" s="20"/>
      <c r="G25" s="20">
        <v>25000</v>
      </c>
      <c r="H25" s="20">
        <v>15000</v>
      </c>
      <c r="I25" s="20">
        <v>3000</v>
      </c>
      <c r="J25" s="20">
        <f>H25-I25</f>
        <v>12000</v>
      </c>
      <c r="K25" s="18">
        <v>10</v>
      </c>
      <c r="L25" s="20">
        <f t="shared" si="10"/>
        <v>1200</v>
      </c>
      <c r="M25" s="31">
        <f>IF(H25-G25&gt;0,H25-G25,0)</f>
        <v>0</v>
      </c>
      <c r="N25" s="21">
        <f>DATEDIF(D24,E24,"d")/DATEDIF(D25,E25,"d")</f>
        <v>0.7692307692307693</v>
      </c>
      <c r="O25" s="21">
        <f>K24/K25</f>
        <v>1.8</v>
      </c>
      <c r="P25" s="22">
        <f>N25*Schedule+O25*Prod</f>
        <v>1.490769230769231</v>
      </c>
      <c r="Q25" s="5">
        <f>H25/F24</f>
        <v>0.6</v>
      </c>
    </row>
    <row r="26" spans="1:24" ht="12.75" customHeight="1">
      <c r="A26" s="11" t="s">
        <v>78</v>
      </c>
      <c r="B26" s="12" t="s">
        <v>79</v>
      </c>
      <c r="C26" s="12" t="s">
        <v>74</v>
      </c>
      <c r="D26" s="13">
        <v>42370</v>
      </c>
      <c r="E26" s="13">
        <v>42430</v>
      </c>
      <c r="F26" s="24">
        <v>49000</v>
      </c>
      <c r="G26" s="24">
        <v>49000</v>
      </c>
      <c r="H26" s="24">
        <v>49000</v>
      </c>
      <c r="I26" s="14">
        <v>10000</v>
      </c>
      <c r="J26" s="14">
        <f>F26-I26</f>
        <v>39000</v>
      </c>
      <c r="K26" s="12">
        <v>15</v>
      </c>
      <c r="L26" s="14">
        <f t="shared" si="10"/>
        <v>2600</v>
      </c>
      <c r="M26" s="15">
        <f>G27/G26</f>
        <v>0.40816326530612246</v>
      </c>
      <c r="N26" s="32"/>
      <c r="O26" s="15">
        <f>L27/NORM</f>
        <v>0</v>
      </c>
      <c r="P26" s="33"/>
      <c r="Q26" s="34"/>
      <c r="S26" s="30" t="s">
        <v>80</v>
      </c>
      <c r="T26" s="30"/>
      <c r="U26" s="30"/>
      <c r="V26" s="30"/>
      <c r="W26" s="30"/>
      <c r="X26" s="30"/>
    </row>
    <row r="27" spans="1:24" ht="12.75">
      <c r="A27" s="17" t="s">
        <v>65</v>
      </c>
      <c r="B27" s="18" t="s">
        <v>49</v>
      </c>
      <c r="C27" s="18" t="s">
        <v>50</v>
      </c>
      <c r="D27" s="19">
        <v>42381</v>
      </c>
      <c r="E27" s="19">
        <v>42430</v>
      </c>
      <c r="F27" s="20"/>
      <c r="G27" s="20">
        <v>20000</v>
      </c>
      <c r="H27" s="20">
        <v>20000</v>
      </c>
      <c r="I27" s="20">
        <v>8000</v>
      </c>
      <c r="J27" s="35">
        <f>H27-I27</f>
        <v>12000</v>
      </c>
      <c r="K27" s="18">
        <v>25</v>
      </c>
      <c r="L27" s="36"/>
      <c r="M27" s="20">
        <f>IF(H27-G27&gt;0,H27-G27,0)</f>
        <v>0</v>
      </c>
      <c r="N27" s="21">
        <f>DATEDIF(D26,E26,"d")/DATEDIF(D27,E27,"d")</f>
        <v>1.2244897959183674</v>
      </c>
      <c r="O27" s="21">
        <f>K26/K27</f>
        <v>0.6</v>
      </c>
      <c r="P27" s="22">
        <f>N27*Schedule+O27*Prod</f>
        <v>0.7873469387755103</v>
      </c>
      <c r="Q27" s="5">
        <f>H27/F26</f>
        <v>0.40816326530612246</v>
      </c>
      <c r="S27" s="30"/>
      <c r="T27" s="30"/>
      <c r="U27" s="30"/>
      <c r="V27" s="30"/>
      <c r="W27" s="30"/>
      <c r="X27" s="30"/>
    </row>
    <row r="28" spans="1:24" ht="12.75" customHeight="1">
      <c r="A28" s="11" t="s">
        <v>81</v>
      </c>
      <c r="B28" s="12" t="s">
        <v>82</v>
      </c>
      <c r="C28" s="12" t="s">
        <v>74</v>
      </c>
      <c r="D28" s="13">
        <v>42370</v>
      </c>
      <c r="E28" s="13">
        <v>42430</v>
      </c>
      <c r="F28" s="37">
        <v>25000</v>
      </c>
      <c r="G28" s="37">
        <v>25000</v>
      </c>
      <c r="H28" s="37">
        <v>20000</v>
      </c>
      <c r="I28" s="14">
        <v>5000</v>
      </c>
      <c r="J28" s="14">
        <f>F28-I28</f>
        <v>20000</v>
      </c>
      <c r="K28" s="12">
        <v>18</v>
      </c>
      <c r="L28" s="38" t="s">
        <v>83</v>
      </c>
      <c r="M28" s="38"/>
      <c r="N28" s="38"/>
      <c r="O28" s="38"/>
      <c r="P28" s="38"/>
      <c r="Q28" s="38"/>
      <c r="S28" s="30"/>
      <c r="T28" s="30"/>
      <c r="U28" s="30"/>
      <c r="V28" s="30"/>
      <c r="W28" s="30"/>
      <c r="X28" s="30"/>
    </row>
    <row r="29" spans="1:17" ht="12.75">
      <c r="A29" s="17" t="s">
        <v>48</v>
      </c>
      <c r="B29" s="18" t="s">
        <v>49</v>
      </c>
      <c r="C29" s="18" t="s">
        <v>50</v>
      </c>
      <c r="D29" s="19">
        <v>42381</v>
      </c>
      <c r="E29" s="19">
        <v>42459</v>
      </c>
      <c r="F29" s="20"/>
      <c r="G29" s="20">
        <v>25000</v>
      </c>
      <c r="H29" s="20">
        <v>15000</v>
      </c>
      <c r="I29" s="20">
        <v>3000</v>
      </c>
      <c r="J29" s="20">
        <f>H29-I29</f>
        <v>12000</v>
      </c>
      <c r="K29" s="18">
        <v>10</v>
      </c>
      <c r="L29" s="38"/>
      <c r="M29" s="38"/>
      <c r="N29" s="38"/>
      <c r="O29" s="38"/>
      <c r="P29" s="38"/>
      <c r="Q29" s="38"/>
    </row>
    <row r="30" spans="19:24" ht="12.75" customHeight="1">
      <c r="S30" s="30" t="s">
        <v>84</v>
      </c>
      <c r="T30" s="30"/>
      <c r="U30" s="30"/>
      <c r="V30" s="30"/>
      <c r="W30" s="30"/>
      <c r="X30" s="30"/>
    </row>
    <row r="31" spans="19:24" ht="12.75">
      <c r="S31" s="30"/>
      <c r="T31" s="30"/>
      <c r="U31" s="30"/>
      <c r="V31" s="30"/>
      <c r="W31" s="30"/>
      <c r="X31" s="30"/>
    </row>
    <row r="32" spans="1:24" ht="12.75">
      <c r="A32" s="6" t="s">
        <v>85</v>
      </c>
      <c r="F32" s="1">
        <f>F34</f>
        <v>160000</v>
      </c>
      <c r="G32" s="1">
        <f>G34</f>
        <v>83500</v>
      </c>
      <c r="H32" s="1">
        <f>H34</f>
        <v>87000</v>
      </c>
      <c r="J32" s="1">
        <f>SUM(J36,J38,J44)</f>
        <v>125000</v>
      </c>
      <c r="M32" s="1">
        <f>M34</f>
        <v>43500</v>
      </c>
      <c r="N32" s="5">
        <f aca="true" t="shared" si="11" ref="N32:N33">N36</f>
        <v>0.9571428571428572</v>
      </c>
      <c r="O32" s="5">
        <f aca="true" t="shared" si="12" ref="O32:O33">O36</f>
        <v>0.9925925925925926</v>
      </c>
      <c r="P32" s="5">
        <f aca="true" t="shared" si="13" ref="P32:P33">P36</f>
        <v>0.9748677248677249</v>
      </c>
      <c r="Q32" s="5">
        <f aca="true" t="shared" si="14" ref="Q32:Q33">Q36</f>
        <v>0.9404074074074076</v>
      </c>
      <c r="S32" s="30"/>
      <c r="T32" s="30"/>
      <c r="U32" s="30"/>
      <c r="V32" s="30"/>
      <c r="W32" s="30"/>
      <c r="X32" s="30"/>
    </row>
    <row r="33" spans="10:24" ht="12.75">
      <c r="J33" s="1">
        <f>J34</f>
        <v>67000</v>
      </c>
      <c r="N33" s="5">
        <f t="shared" si="11"/>
        <v>1</v>
      </c>
      <c r="O33" s="5">
        <f t="shared" si="12"/>
        <v>0.8</v>
      </c>
      <c r="P33" s="5">
        <f t="shared" si="13"/>
        <v>0.8600000000000001</v>
      </c>
      <c r="Q33" s="5">
        <f t="shared" si="14"/>
        <v>1.0875</v>
      </c>
      <c r="S33" s="30"/>
      <c r="T33" s="30"/>
      <c r="U33" s="30"/>
      <c r="V33" s="30"/>
      <c r="W33" s="30"/>
      <c r="X33" s="30"/>
    </row>
    <row r="34" spans="1:17" ht="12.75">
      <c r="A34" s="8" t="s">
        <v>38</v>
      </c>
      <c r="B34" s="8" t="s">
        <v>86</v>
      </c>
      <c r="C34" s="8"/>
      <c r="D34" s="8"/>
      <c r="E34" s="8"/>
      <c r="F34" s="9">
        <f>SUM(F36,F38,F44)</f>
        <v>160000</v>
      </c>
      <c r="G34" s="9">
        <f>SUM(G37,G39,G45)</f>
        <v>83500</v>
      </c>
      <c r="H34" s="9">
        <f>SUM(H37,H39,H45)</f>
        <v>87000</v>
      </c>
      <c r="I34" s="9"/>
      <c r="J34" s="9">
        <f>J37</f>
        <v>67000</v>
      </c>
      <c r="K34" s="8"/>
      <c r="L34" s="8"/>
      <c r="M34" s="9">
        <f>SUM(M37,M39,M45)</f>
        <v>43500</v>
      </c>
      <c r="N34" s="8"/>
      <c r="O34" s="8"/>
      <c r="P34" s="8"/>
      <c r="Q34" s="10">
        <f>Q36</f>
        <v>0.9404074074074076</v>
      </c>
    </row>
    <row r="35" spans="19:24" ht="12.75" customHeight="1">
      <c r="S35" s="29" t="s">
        <v>87</v>
      </c>
      <c r="T35" s="29"/>
      <c r="U35" s="29"/>
      <c r="V35" s="29"/>
      <c r="W35" s="29"/>
      <c r="X35" s="29"/>
    </row>
    <row r="36" spans="1:24" ht="12.75">
      <c r="A36" s="11" t="s">
        <v>88</v>
      </c>
      <c r="B36" s="12" t="s">
        <v>89</v>
      </c>
      <c r="C36" s="12" t="s">
        <v>44</v>
      </c>
      <c r="D36" s="13">
        <v>42439</v>
      </c>
      <c r="E36" s="13">
        <v>42459</v>
      </c>
      <c r="F36" s="24">
        <v>80000</v>
      </c>
      <c r="G36" s="24">
        <v>80000</v>
      </c>
      <c r="H36" s="24">
        <v>87000</v>
      </c>
      <c r="I36" s="14">
        <v>10000</v>
      </c>
      <c r="J36" s="14">
        <f>F36-I36</f>
        <v>70000</v>
      </c>
      <c r="K36" s="12">
        <v>36</v>
      </c>
      <c r="L36" s="14">
        <f aca="true" t="shared" si="15" ref="L36:L38">J36/K36</f>
        <v>1944.4444444444443</v>
      </c>
      <c r="M36" s="15">
        <f>G37/G36</f>
        <v>0.54375</v>
      </c>
      <c r="N36" s="15">
        <f>J37/J36</f>
        <v>0.9571428571428572</v>
      </c>
      <c r="O36" s="15">
        <f>L37/NORM</f>
        <v>0.9925925925925926</v>
      </c>
      <c r="P36" s="16">
        <f>N36*Income+O36*Rent</f>
        <v>0.9748677248677249</v>
      </c>
      <c r="Q36" s="3">
        <f>Fin*P36+Time*P37</f>
        <v>0.9404074074074076</v>
      </c>
      <c r="S36" s="29"/>
      <c r="T36" s="29"/>
      <c r="U36" s="29"/>
      <c r="V36" s="29"/>
      <c r="W36" s="29"/>
      <c r="X36" s="29"/>
    </row>
    <row r="37" spans="1:24" ht="12.75">
      <c r="A37" s="17" t="s">
        <v>48</v>
      </c>
      <c r="B37" s="18" t="s">
        <v>49</v>
      </c>
      <c r="C37" s="39" t="s">
        <v>90</v>
      </c>
      <c r="D37" s="19">
        <v>42455</v>
      </c>
      <c r="E37" s="19">
        <v>42475</v>
      </c>
      <c r="F37" s="20"/>
      <c r="G37" s="20">
        <v>43500</v>
      </c>
      <c r="H37" s="20">
        <v>87000</v>
      </c>
      <c r="I37" s="20">
        <v>20000</v>
      </c>
      <c r="J37" s="20">
        <f>H37-I37</f>
        <v>67000</v>
      </c>
      <c r="K37" s="18">
        <v>45</v>
      </c>
      <c r="L37" s="20">
        <f t="shared" si="15"/>
        <v>1488.888888888889</v>
      </c>
      <c r="M37" s="23">
        <f>IF(H37-G37&gt;0,H37-G37,0)</f>
        <v>43500</v>
      </c>
      <c r="N37" s="21">
        <f>DATEDIF(D36,E36,"d")/DATEDIF(D37,E37,"d")</f>
        <v>1</v>
      </c>
      <c r="O37" s="21">
        <f>K36/K37</f>
        <v>0.8</v>
      </c>
      <c r="P37" s="22">
        <f>N37*Schedule+O37*Prod</f>
        <v>0.8600000000000001</v>
      </c>
      <c r="Q37" s="5">
        <f>H37/F36</f>
        <v>1.0875</v>
      </c>
      <c r="S37" s="29"/>
      <c r="T37" s="29"/>
      <c r="U37" s="29"/>
      <c r="V37" s="29"/>
      <c r="W37" s="29"/>
      <c r="X37" s="29"/>
    </row>
    <row r="38" spans="1:22" ht="12.75">
      <c r="A38" s="11" t="s">
        <v>91</v>
      </c>
      <c r="B38" s="12" t="s">
        <v>92</v>
      </c>
      <c r="C38" s="12" t="s">
        <v>74</v>
      </c>
      <c r="D38" s="13">
        <v>42430</v>
      </c>
      <c r="E38" s="13">
        <v>42459</v>
      </c>
      <c r="F38" s="24">
        <v>40000</v>
      </c>
      <c r="G38" s="24">
        <v>40000</v>
      </c>
      <c r="H38" s="24">
        <v>0</v>
      </c>
      <c r="I38" s="14">
        <v>10000</v>
      </c>
      <c r="J38" s="14">
        <f>F38-I38</f>
        <v>30000</v>
      </c>
      <c r="K38" s="12">
        <v>36</v>
      </c>
      <c r="L38" s="14">
        <f t="shared" si="15"/>
        <v>833.3333333333334</v>
      </c>
      <c r="M38" s="15">
        <f>G39/G38</f>
        <v>1</v>
      </c>
      <c r="N38" s="15"/>
      <c r="O38" s="15"/>
      <c r="P38" s="16"/>
      <c r="Q38" s="3"/>
      <c r="V38"/>
    </row>
    <row r="39" spans="1:24" ht="12.75" customHeight="1">
      <c r="A39" s="17" t="s">
        <v>65</v>
      </c>
      <c r="B39" s="18" t="s">
        <v>49</v>
      </c>
      <c r="C39" s="18" t="s">
        <v>90</v>
      </c>
      <c r="D39" s="19">
        <v>42474</v>
      </c>
      <c r="E39" s="19"/>
      <c r="F39" s="20"/>
      <c r="G39" s="20">
        <v>40000</v>
      </c>
      <c r="H39" s="20">
        <v>0</v>
      </c>
      <c r="I39" s="20">
        <v>20000</v>
      </c>
      <c r="J39" s="20"/>
      <c r="K39" s="18"/>
      <c r="L39" s="20"/>
      <c r="M39" s="20"/>
      <c r="N39" s="21"/>
      <c r="O39" s="21"/>
      <c r="P39" s="22"/>
      <c r="Q39" s="5"/>
      <c r="S39" s="29" t="s">
        <v>93</v>
      </c>
      <c r="T39" s="29"/>
      <c r="U39" s="29"/>
      <c r="V39" s="29"/>
      <c r="W39" s="29"/>
      <c r="X39" s="29"/>
    </row>
    <row r="40" spans="1:24" ht="12.75" customHeight="1">
      <c r="A40" s="11" t="s">
        <v>94</v>
      </c>
      <c r="B40" s="12" t="s">
        <v>95</v>
      </c>
      <c r="C40" s="12" t="s">
        <v>74</v>
      </c>
      <c r="D40" s="13">
        <v>42430</v>
      </c>
      <c r="E40" s="13">
        <v>42459</v>
      </c>
      <c r="F40" s="40">
        <v>40000</v>
      </c>
      <c r="G40" s="40">
        <v>20000</v>
      </c>
      <c r="H40" s="24">
        <v>0</v>
      </c>
      <c r="I40" s="14">
        <v>5000</v>
      </c>
      <c r="J40" s="14">
        <f>F40-I40</f>
        <v>35000</v>
      </c>
      <c r="K40" s="12">
        <v>36</v>
      </c>
      <c r="L40" s="41" t="s">
        <v>96</v>
      </c>
      <c r="M40" s="41">
        <f>G41/G40</f>
        <v>1</v>
      </c>
      <c r="N40" s="41"/>
      <c r="O40" s="41"/>
      <c r="P40" s="41"/>
      <c r="Q40" s="41"/>
      <c r="S40" s="29"/>
      <c r="T40" s="29"/>
      <c r="U40" s="29"/>
      <c r="V40" s="29"/>
      <c r="W40" s="29"/>
      <c r="X40" s="29"/>
    </row>
    <row r="41" spans="1:22" ht="12.75">
      <c r="A41" s="17" t="s">
        <v>65</v>
      </c>
      <c r="B41" s="18" t="s">
        <v>49</v>
      </c>
      <c r="C41" s="18" t="s">
        <v>90</v>
      </c>
      <c r="D41" s="19">
        <v>42474</v>
      </c>
      <c r="E41" s="19"/>
      <c r="F41" s="20"/>
      <c r="G41" s="20">
        <v>20000</v>
      </c>
      <c r="H41" s="20">
        <v>0</v>
      </c>
      <c r="I41" s="20">
        <v>0</v>
      </c>
      <c r="J41" s="20"/>
      <c r="K41" s="18"/>
      <c r="L41" s="41"/>
      <c r="M41" s="41"/>
      <c r="N41" s="41"/>
      <c r="O41" s="41"/>
      <c r="P41" s="41"/>
      <c r="Q41" s="41"/>
      <c r="V41"/>
    </row>
    <row r="42" spans="1:24" ht="12.75" customHeight="1">
      <c r="A42" s="11" t="s">
        <v>91</v>
      </c>
      <c r="B42" s="12" t="s">
        <v>97</v>
      </c>
      <c r="C42" s="12" t="s">
        <v>74</v>
      </c>
      <c r="D42" s="13">
        <v>42430</v>
      </c>
      <c r="E42" s="13">
        <v>42459</v>
      </c>
      <c r="F42" s="24">
        <v>40000</v>
      </c>
      <c r="G42" s="24">
        <v>40000</v>
      </c>
      <c r="H42" s="24">
        <v>0</v>
      </c>
      <c r="I42" s="14">
        <v>3000</v>
      </c>
      <c r="J42" s="14">
        <f>F42-I42</f>
        <v>37000</v>
      </c>
      <c r="K42" s="12">
        <v>20</v>
      </c>
      <c r="L42" s="42" t="s">
        <v>98</v>
      </c>
      <c r="M42" s="42"/>
      <c r="N42" s="42"/>
      <c r="O42" s="42"/>
      <c r="P42" s="42"/>
      <c r="Q42" s="42"/>
      <c r="S42" s="30" t="s">
        <v>99</v>
      </c>
      <c r="T42" s="30"/>
      <c r="U42" s="30"/>
      <c r="V42" s="30"/>
      <c r="W42" s="30"/>
      <c r="X42" s="30"/>
    </row>
    <row r="43" spans="1:24" ht="12.75">
      <c r="A43" s="17" t="s">
        <v>65</v>
      </c>
      <c r="B43" s="18"/>
      <c r="C43" s="18" t="s">
        <v>90</v>
      </c>
      <c r="D43" s="19"/>
      <c r="E43" s="19"/>
      <c r="F43" s="20"/>
      <c r="G43" s="20">
        <v>40000</v>
      </c>
      <c r="H43" s="20">
        <v>0</v>
      </c>
      <c r="I43" s="20">
        <v>3000</v>
      </c>
      <c r="J43" s="20"/>
      <c r="K43" s="18"/>
      <c r="L43" s="42"/>
      <c r="M43" s="42"/>
      <c r="N43" s="42"/>
      <c r="O43" s="42"/>
      <c r="P43" s="42"/>
      <c r="Q43" s="42"/>
      <c r="S43" s="30"/>
      <c r="T43" s="30"/>
      <c r="U43" s="30"/>
      <c r="V43" s="30"/>
      <c r="W43" s="30"/>
      <c r="X43" s="30"/>
    </row>
    <row r="44" spans="1:24" ht="12.75">
      <c r="A44" s="11" t="s">
        <v>94</v>
      </c>
      <c r="B44" s="12" t="s">
        <v>100</v>
      </c>
      <c r="C44" s="12" t="s">
        <v>74</v>
      </c>
      <c r="D44" s="13">
        <v>42430</v>
      </c>
      <c r="E44" s="13">
        <v>42459</v>
      </c>
      <c r="F44" s="43">
        <v>40000</v>
      </c>
      <c r="G44" s="43">
        <v>40000</v>
      </c>
      <c r="H44" s="24">
        <v>0</v>
      </c>
      <c r="I44" s="14">
        <v>15000</v>
      </c>
      <c r="J44" s="14">
        <f>F44-I44</f>
        <v>25000</v>
      </c>
      <c r="K44" s="12">
        <v>16</v>
      </c>
      <c r="L44" s="14">
        <f>J44/K44</f>
        <v>1562.5</v>
      </c>
      <c r="M44" s="15"/>
      <c r="N44" s="15"/>
      <c r="O44" s="15"/>
      <c r="P44" s="16"/>
      <c r="Q44" s="3"/>
      <c r="S44" s="30"/>
      <c r="T44" s="30"/>
      <c r="U44" s="30"/>
      <c r="V44" s="30"/>
      <c r="W44" s="30"/>
      <c r="X44" s="30"/>
    </row>
    <row r="45" spans="1:24" ht="12.75">
      <c r="A45" s="17" t="s">
        <v>65</v>
      </c>
      <c r="B45" s="18" t="s">
        <v>49</v>
      </c>
      <c r="C45" s="18" t="s">
        <v>90</v>
      </c>
      <c r="D45" s="19">
        <v>42474</v>
      </c>
      <c r="E45" s="19"/>
      <c r="F45" s="20"/>
      <c r="G45" s="20">
        <v>0</v>
      </c>
      <c r="H45" s="20">
        <v>0</v>
      </c>
      <c r="I45" s="20">
        <v>0</v>
      </c>
      <c r="J45" s="20"/>
      <c r="K45" s="18"/>
      <c r="L45" s="20"/>
      <c r="M45" s="44"/>
      <c r="N45" s="21"/>
      <c r="O45" s="21"/>
      <c r="P45" s="22"/>
      <c r="Q45" s="5"/>
      <c r="S45" s="30"/>
      <c r="T45" s="30"/>
      <c r="U45" s="30"/>
      <c r="V45" s="30"/>
      <c r="W45" s="30"/>
      <c r="X45" s="30"/>
    </row>
    <row r="46" spans="19:24" ht="12.75">
      <c r="S46" s="30"/>
      <c r="T46" s="30"/>
      <c r="U46" s="30"/>
      <c r="V46" s="30"/>
      <c r="W46" s="30"/>
      <c r="X46" s="30"/>
    </row>
    <row r="47" ht="12.75">
      <c r="V47"/>
    </row>
    <row r="48" spans="19:24" ht="12.75">
      <c r="S48" s="45" t="s">
        <v>101</v>
      </c>
      <c r="T48" s="45"/>
      <c r="U48" s="45"/>
      <c r="V48" s="45"/>
      <c r="W48" s="45"/>
      <c r="X48" s="45"/>
    </row>
  </sheetData>
  <sheetProtection selectLockedCells="1" selectUnlockedCells="1"/>
  <mergeCells count="11">
    <mergeCell ref="S19:X21"/>
    <mergeCell ref="S22:X24"/>
    <mergeCell ref="S26:X28"/>
    <mergeCell ref="L28:Q29"/>
    <mergeCell ref="S30:X33"/>
    <mergeCell ref="S35:X37"/>
    <mergeCell ref="S39:X40"/>
    <mergeCell ref="L40:Q41"/>
    <mergeCell ref="L42:Q43"/>
    <mergeCell ref="S42:X46"/>
    <mergeCell ref="S48:X4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"/>
  <sheetViews>
    <sheetView zoomScale="110" zoomScaleNormal="110" workbookViewId="0" topLeftCell="A1">
      <selection activeCell="I15" sqref="I15"/>
    </sheetView>
  </sheetViews>
  <sheetFormatPr defaultColWidth="11.421875" defaultRowHeight="12.75"/>
  <cols>
    <col min="1" max="1" width="3.57421875" style="0" customWidth="1"/>
    <col min="2" max="2" width="26.28125" style="0" customWidth="1"/>
    <col min="3" max="3" width="53.00390625" style="0" customWidth="1"/>
    <col min="4" max="4" width="17.28125" style="0" customWidth="1"/>
    <col min="5" max="5" width="20.140625" style="0" customWidth="1"/>
    <col min="6" max="16384" width="11.57421875" style="0" customWidth="1"/>
  </cols>
  <sheetData>
    <row r="1" spans="2:5" ht="12.75">
      <c r="B1" s="6" t="s">
        <v>102</v>
      </c>
      <c r="C1" s="6" t="s">
        <v>103</v>
      </c>
      <c r="D1" s="6" t="s">
        <v>104</v>
      </c>
      <c r="E1" s="6" t="s">
        <v>105</v>
      </c>
    </row>
    <row r="2" spans="2:4" ht="12.75">
      <c r="B2" t="s">
        <v>0</v>
      </c>
      <c r="C2" t="s">
        <v>66</v>
      </c>
      <c r="D2" t="s">
        <v>106</v>
      </c>
    </row>
    <row r="3" spans="3:5" ht="12.75">
      <c r="C3" t="s">
        <v>107</v>
      </c>
      <c r="D3" t="s">
        <v>108</v>
      </c>
      <c r="E3" t="s">
        <v>109</v>
      </c>
    </row>
    <row r="4" spans="3:4" ht="12.75">
      <c r="C4" t="s">
        <v>110</v>
      </c>
      <c r="D4" t="s">
        <v>108</v>
      </c>
    </row>
    <row r="5" spans="3:5" ht="12.75">
      <c r="C5" t="s">
        <v>111</v>
      </c>
      <c r="D5" t="s">
        <v>112</v>
      </c>
      <c r="E5" t="s">
        <v>109</v>
      </c>
    </row>
    <row r="6" spans="2:4" ht="12.75">
      <c r="B6" t="s">
        <v>113</v>
      </c>
      <c r="C6" t="s">
        <v>1</v>
      </c>
      <c r="D6" t="s">
        <v>114</v>
      </c>
    </row>
    <row r="7" spans="2:4" ht="12.75">
      <c r="B7" t="s">
        <v>115</v>
      </c>
      <c r="C7" t="s">
        <v>17</v>
      </c>
      <c r="D7" t="s">
        <v>116</v>
      </c>
    </row>
    <row r="8" ht="12.75">
      <c r="B8" t="s">
        <v>117</v>
      </c>
    </row>
    <row r="9" ht="12.75">
      <c r="B9" t="s">
        <v>118</v>
      </c>
    </row>
    <row r="10" ht="12.75">
      <c r="B10" t="s">
        <v>119</v>
      </c>
    </row>
    <row r="16" spans="2:6" ht="12.75">
      <c r="B16" s="46" t="s">
        <v>120</v>
      </c>
      <c r="C16" s="46"/>
      <c r="D16" s="46"/>
      <c r="E16" s="46"/>
      <c r="F16" s="46"/>
    </row>
  </sheetData>
  <sheetProtection selectLockedCells="1" selectUnlockedCells="1"/>
  <mergeCells count="1">
    <mergeCell ref="B16:F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  </dc:creator>
  <cp:keywords/>
  <dc:description/>
  <cp:lastModifiedBy>aur  </cp:lastModifiedBy>
  <dcterms:created xsi:type="dcterms:W3CDTF">2016-05-02T08:40:06Z</dcterms:created>
  <dcterms:modified xsi:type="dcterms:W3CDTF">2016-05-02T11:53:23Z</dcterms:modified>
  <cp:category/>
  <cp:version/>
  <cp:contentType/>
  <cp:contentStatus/>
  <cp:revision>5</cp:revision>
</cp:coreProperties>
</file>