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егина\Downloads\"/>
    </mc:Choice>
  </mc:AlternateContent>
  <bookViews>
    <workbookView xWindow="0" yWindow="0" windowWidth="28800" windowHeight="11835"/>
  </bookViews>
  <sheets>
    <sheet name="31.0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'31.01'!$B$232:$B$237</definedName>
    <definedName name="БОРТ">[1]ДСП_списки!$E$4:$E$31</definedName>
    <definedName name="Коэфициент">[2]ДСП!$E$4:$E$6</definedName>
    <definedName name="Коэффициент" localSheetId="0">[3]ДСП!$E$4:$E$6</definedName>
    <definedName name="ПЕРВЫЙ">[1]ДСП_свод!$F$2:$G$2</definedName>
    <definedName name="про">[4]ДСП_свод!$F$2:$G$2</definedName>
    <definedName name="Список" localSheetId="0">[3]ДСП!$B$4:$B$15</definedName>
    <definedName name="ФИО">[1]ДСП_списки!$C$4:$C$192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1" i="1" l="1"/>
  <c r="F312" i="1" s="1"/>
  <c r="F313" i="1" s="1"/>
  <c r="F314" i="1" s="1"/>
  <c r="G288" i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286" i="1"/>
  <c r="G287" i="1" s="1"/>
  <c r="F286" i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L274" i="1"/>
  <c r="D274" i="1"/>
  <c r="C273" i="1"/>
  <c r="C272" i="1"/>
  <c r="C271" i="1"/>
  <c r="C270" i="1"/>
  <c r="C274" i="1" s="1"/>
  <c r="M247" i="1"/>
  <c r="E246" i="1"/>
  <c r="E247" i="1" s="1"/>
  <c r="E248" i="1" s="1"/>
  <c r="E249" i="1" s="1"/>
  <c r="E250" i="1" s="1"/>
  <c r="E251" i="1" s="1"/>
  <c r="E252" i="1" s="1"/>
  <c r="E253" i="1" s="1"/>
  <c r="E254" i="1" s="1"/>
  <c r="E255" i="1" s="1"/>
  <c r="E244" i="1"/>
  <c r="E245" i="1" s="1"/>
  <c r="C230" i="1"/>
  <c r="J226" i="1"/>
  <c r="BL217" i="1"/>
  <c r="AZ211" i="1"/>
  <c r="AY211" i="1"/>
  <c r="AM211" i="1"/>
  <c r="AL211" i="1"/>
  <c r="AK211" i="1"/>
  <c r="AF211" i="1"/>
  <c r="AE211" i="1"/>
  <c r="AB211" i="1"/>
  <c r="Z211" i="1"/>
  <c r="T211" i="1"/>
  <c r="Q211" i="1"/>
  <c r="BG208" i="1"/>
  <c r="BE208" i="1"/>
  <c r="BC208" i="1"/>
  <c r="BC211" i="1" s="1"/>
  <c r="AZ208" i="1"/>
  <c r="AW208" i="1"/>
  <c r="AW211" i="1" s="1"/>
  <c r="AV208" i="1"/>
  <c r="AV211" i="1" s="1"/>
  <c r="AU208" i="1"/>
  <c r="AU211" i="1" s="1"/>
  <c r="AT208" i="1"/>
  <c r="AS208" i="1"/>
  <c r="AS211" i="1" s="1"/>
  <c r="AQ208" i="1"/>
  <c r="AQ211" i="1" s="1"/>
  <c r="AH208" i="1"/>
  <c r="AH211" i="1" s="1"/>
  <c r="AG208" i="1"/>
  <c r="AG211" i="1" s="1"/>
  <c r="AD208" i="1"/>
  <c r="AD211" i="1" s="1"/>
  <c r="AC208" i="1"/>
  <c r="X208" i="1"/>
  <c r="V208" i="1"/>
  <c r="V211" i="1" s="1"/>
  <c r="U208" i="1"/>
  <c r="U211" i="1" s="1"/>
  <c r="T208" i="1"/>
  <c r="O208" i="1"/>
  <c r="BH204" i="1"/>
  <c r="BF204" i="1"/>
  <c r="BB204" i="1"/>
  <c r="BA204" i="1"/>
  <c r="AY204" i="1"/>
  <c r="AV204" i="1"/>
  <c r="AT204" i="1"/>
  <c r="AR204" i="1"/>
  <c r="AM204" i="1"/>
  <c r="AL204" i="1"/>
  <c r="AK204" i="1"/>
  <c r="AJ204" i="1"/>
  <c r="AI204" i="1"/>
  <c r="AH204" i="1"/>
  <c r="AF204" i="1"/>
  <c r="AD204" i="1"/>
  <c r="AB204" i="1"/>
  <c r="AA204" i="1"/>
  <c r="Z204" i="1"/>
  <c r="Y204" i="1"/>
  <c r="W204" i="1"/>
  <c r="V204" i="1"/>
  <c r="T204" i="1"/>
  <c r="S204" i="1"/>
  <c r="R204" i="1"/>
  <c r="P204" i="1"/>
  <c r="N204" i="1"/>
  <c r="BG200" i="1"/>
  <c r="BE200" i="1"/>
  <c r="BE204" i="1" s="1"/>
  <c r="BC200" i="1"/>
  <c r="BC204" i="1" s="1"/>
  <c r="AZ200" i="1"/>
  <c r="AZ204" i="1" s="1"/>
  <c r="AV200" i="1"/>
  <c r="AU200" i="1"/>
  <c r="AU204" i="1" s="1"/>
  <c r="AT200" i="1"/>
  <c r="AS200" i="1"/>
  <c r="AS204" i="1" s="1"/>
  <c r="AR200" i="1"/>
  <c r="AQ200" i="1"/>
  <c r="AQ204" i="1" s="1"/>
  <c r="AH200" i="1"/>
  <c r="AG200" i="1"/>
  <c r="AG204" i="1" s="1"/>
  <c r="AF200" i="1"/>
  <c r="AE200" i="1"/>
  <c r="AE204" i="1" s="1"/>
  <c r="AD200" i="1"/>
  <c r="AC200" i="1"/>
  <c r="AC204" i="1" s="1"/>
  <c r="AB200" i="1"/>
  <c r="X200" i="1"/>
  <c r="X204" i="1" s="1"/>
  <c r="V200" i="1"/>
  <c r="U200" i="1"/>
  <c r="U204" i="1" s="1"/>
  <c r="T200" i="1"/>
  <c r="R200" i="1"/>
  <c r="Q200" i="1"/>
  <c r="Q204" i="1" s="1"/>
  <c r="O200" i="1"/>
  <c r="O204" i="1" s="1"/>
  <c r="N200" i="1"/>
  <c r="BG199" i="1"/>
  <c r="BG204" i="1" s="1"/>
  <c r="V199" i="1"/>
  <c r="BD197" i="1"/>
  <c r="BD204" i="1" s="1"/>
  <c r="BB197" i="1"/>
  <c r="AX197" i="1"/>
  <c r="AW197" i="1"/>
  <c r="AW204" i="1" s="1"/>
  <c r="AP197" i="1"/>
  <c r="AO197" i="1"/>
  <c r="AO204" i="1" s="1"/>
  <c r="AN197" i="1"/>
  <c r="AN204" i="1" s="1"/>
  <c r="AD197" i="1"/>
  <c r="AX196" i="1"/>
  <c r="AX204" i="1" s="1"/>
  <c r="AV196" i="1"/>
  <c r="AP196" i="1"/>
  <c r="AP204" i="1" s="1"/>
  <c r="AJ196" i="1"/>
  <c r="R196" i="1"/>
  <c r="M243" i="1" s="1"/>
  <c r="BH194" i="1"/>
  <c r="BG194" i="1"/>
  <c r="BF194" i="1"/>
  <c r="BE194" i="1"/>
  <c r="BD194" i="1"/>
  <c r="BC194" i="1"/>
  <c r="BB194" i="1"/>
  <c r="BA194" i="1"/>
  <c r="AZ194" i="1"/>
  <c r="AY194" i="1"/>
  <c r="AX194" i="1"/>
  <c r="AW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BH192" i="1"/>
  <c r="BG192" i="1"/>
  <c r="BF192" i="1"/>
  <c r="BE192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BH186" i="1"/>
  <c r="BH189" i="1" s="1"/>
  <c r="BG186" i="1"/>
  <c r="BG189" i="1" s="1"/>
  <c r="BF186" i="1"/>
  <c r="BF189" i="1" s="1"/>
  <c r="BE186" i="1"/>
  <c r="BE189" i="1" s="1"/>
  <c r="BD186" i="1"/>
  <c r="BD189" i="1" s="1"/>
  <c r="BC186" i="1"/>
  <c r="BC189" i="1" s="1"/>
  <c r="BB186" i="1"/>
  <c r="BB189" i="1" s="1"/>
  <c r="BA186" i="1"/>
  <c r="BA189" i="1" s="1"/>
  <c r="AZ186" i="1"/>
  <c r="AZ189" i="1" s="1"/>
  <c r="AY186" i="1"/>
  <c r="AY189" i="1" s="1"/>
  <c r="AX186" i="1"/>
  <c r="AX189" i="1" s="1"/>
  <c r="AW186" i="1"/>
  <c r="AW189" i="1" s="1"/>
  <c r="AV186" i="1"/>
  <c r="AV189" i="1" s="1"/>
  <c r="AU186" i="1"/>
  <c r="AU189" i="1" s="1"/>
  <c r="AT186" i="1"/>
  <c r="AT189" i="1" s="1"/>
  <c r="AS186" i="1"/>
  <c r="AS189" i="1" s="1"/>
  <c r="AR186" i="1"/>
  <c r="AR189" i="1" s="1"/>
  <c r="AQ186" i="1"/>
  <c r="AQ189" i="1" s="1"/>
  <c r="AP186" i="1"/>
  <c r="AP189" i="1" s="1"/>
  <c r="AO186" i="1"/>
  <c r="AO189" i="1" s="1"/>
  <c r="AN186" i="1"/>
  <c r="AN189" i="1" s="1"/>
  <c r="AM186" i="1"/>
  <c r="AM189" i="1" s="1"/>
  <c r="AL186" i="1"/>
  <c r="AL189" i="1" s="1"/>
  <c r="AK186" i="1"/>
  <c r="AK189" i="1" s="1"/>
  <c r="AJ186" i="1"/>
  <c r="AJ189" i="1" s="1"/>
  <c r="AI186" i="1"/>
  <c r="AI189" i="1" s="1"/>
  <c r="AH186" i="1"/>
  <c r="AH189" i="1" s="1"/>
  <c r="AG186" i="1"/>
  <c r="AG189" i="1" s="1"/>
  <c r="AF186" i="1"/>
  <c r="AF189" i="1" s="1"/>
  <c r="AE186" i="1"/>
  <c r="AE189" i="1" s="1"/>
  <c r="AD186" i="1"/>
  <c r="AD189" i="1" s="1"/>
  <c r="AC186" i="1"/>
  <c r="AC189" i="1" s="1"/>
  <c r="AB186" i="1"/>
  <c r="AA186" i="1"/>
  <c r="AA189" i="1" s="1"/>
  <c r="Z186" i="1"/>
  <c r="Z189" i="1" s="1"/>
  <c r="Y186" i="1"/>
  <c r="Y189" i="1" s="1"/>
  <c r="X186" i="1"/>
  <c r="X189" i="1" s="1"/>
  <c r="W186" i="1"/>
  <c r="W189" i="1" s="1"/>
  <c r="V186" i="1"/>
  <c r="V189" i="1" s="1"/>
  <c r="U186" i="1"/>
  <c r="U189" i="1" s="1"/>
  <c r="T186" i="1"/>
  <c r="T189" i="1" s="1"/>
  <c r="S186" i="1"/>
  <c r="S189" i="1" s="1"/>
  <c r="R186" i="1"/>
  <c r="R189" i="1" s="1"/>
  <c r="Q186" i="1"/>
  <c r="Q189" i="1" s="1"/>
  <c r="P186" i="1"/>
  <c r="P189" i="1" s="1"/>
  <c r="O186" i="1"/>
  <c r="O189" i="1" s="1"/>
  <c r="N186" i="1"/>
  <c r="BH160" i="1"/>
  <c r="BG160" i="1"/>
  <c r="BG148" i="1" s="1"/>
  <c r="BG187" i="1" s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S187" i="1" s="1"/>
  <c r="AR160" i="1"/>
  <c r="AQ160" i="1"/>
  <c r="AP160" i="1"/>
  <c r="AO160" i="1"/>
  <c r="AO187" i="1" s="1"/>
  <c r="AN160" i="1"/>
  <c r="AM160" i="1"/>
  <c r="AL160" i="1"/>
  <c r="AK160" i="1"/>
  <c r="AK187" i="1" s="1"/>
  <c r="AJ160" i="1"/>
  <c r="AI160" i="1"/>
  <c r="AH160" i="1"/>
  <c r="AG160" i="1"/>
  <c r="AG187" i="1" s="1"/>
  <c r="AF160" i="1"/>
  <c r="AE160" i="1"/>
  <c r="AD160" i="1"/>
  <c r="AC160" i="1"/>
  <c r="AC187" i="1" s="1"/>
  <c r="AB160" i="1"/>
  <c r="AA160" i="1"/>
  <c r="Z160" i="1"/>
  <c r="Y160" i="1"/>
  <c r="Y187" i="1" s="1"/>
  <c r="X160" i="1"/>
  <c r="W160" i="1"/>
  <c r="V160" i="1"/>
  <c r="U160" i="1"/>
  <c r="U187" i="1" s="1"/>
  <c r="T160" i="1"/>
  <c r="S160" i="1"/>
  <c r="R160" i="1"/>
  <c r="Q160" i="1"/>
  <c r="Q187" i="1" s="1"/>
  <c r="P160" i="1"/>
  <c r="O160" i="1"/>
  <c r="N160" i="1"/>
  <c r="BH159" i="1"/>
  <c r="BH148" i="1" s="1"/>
  <c r="BG159" i="1"/>
  <c r="BF159" i="1"/>
  <c r="BE159" i="1"/>
  <c r="BD159" i="1"/>
  <c r="BC159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F229" i="1" s="1"/>
  <c r="BF148" i="1"/>
  <c r="BE148" i="1"/>
  <c r="BD148" i="1"/>
  <c r="BC148" i="1"/>
  <c r="BB148" i="1"/>
  <c r="BA148" i="1"/>
  <c r="AZ148" i="1"/>
  <c r="AY148" i="1"/>
  <c r="AX148" i="1"/>
  <c r="AW148" i="1"/>
  <c r="AV148" i="1"/>
  <c r="AU148" i="1"/>
  <c r="AT148" i="1"/>
  <c r="AS148" i="1"/>
  <c r="AR148" i="1"/>
  <c r="AQ148" i="1"/>
  <c r="AQ187" i="1" s="1"/>
  <c r="AP148" i="1"/>
  <c r="AO148" i="1"/>
  <c r="AN148" i="1"/>
  <c r="AM148" i="1"/>
  <c r="AM187" i="1" s="1"/>
  <c r="AL148" i="1"/>
  <c r="AK148" i="1"/>
  <c r="AJ148" i="1"/>
  <c r="AI148" i="1"/>
  <c r="AI187" i="1" s="1"/>
  <c r="AH148" i="1"/>
  <c r="AG148" i="1"/>
  <c r="AF148" i="1"/>
  <c r="AE148" i="1"/>
  <c r="AE187" i="1" s="1"/>
  <c r="AD148" i="1"/>
  <c r="AC148" i="1"/>
  <c r="AB148" i="1"/>
  <c r="AA148" i="1"/>
  <c r="AA187" i="1" s="1"/>
  <c r="Z148" i="1"/>
  <c r="Y148" i="1"/>
  <c r="X148" i="1"/>
  <c r="W148" i="1"/>
  <c r="W187" i="1" s="1"/>
  <c r="V148" i="1"/>
  <c r="U148" i="1"/>
  <c r="T148" i="1"/>
  <c r="S148" i="1"/>
  <c r="S187" i="1" s="1"/>
  <c r="R148" i="1"/>
  <c r="Q148" i="1"/>
  <c r="P148" i="1"/>
  <c r="O148" i="1"/>
  <c r="O187" i="1" s="1"/>
  <c r="N148" i="1"/>
  <c r="BH147" i="1"/>
  <c r="BG147" i="1"/>
  <c r="BF147" i="1"/>
  <c r="BE147" i="1"/>
  <c r="BD147" i="1"/>
  <c r="BC147" i="1"/>
  <c r="BB147" i="1"/>
  <c r="BA147" i="1"/>
  <c r="AZ147" i="1"/>
  <c r="AY147" i="1"/>
  <c r="AX147" i="1"/>
  <c r="AW147" i="1"/>
  <c r="AV147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F228" i="1" s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AA105" i="1"/>
  <c r="AA120" i="1" s="1"/>
  <c r="AB102" i="1"/>
  <c r="AB120" i="1" s="1"/>
  <c r="R98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C227" i="1" s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C226" i="1" s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C225" i="1" s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C224" i="1" s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K272" i="1" s="1"/>
  <c r="AP7" i="1"/>
  <c r="AO7" i="1"/>
  <c r="AN7" i="1"/>
  <c r="AM7" i="1"/>
  <c r="AL7" i="1"/>
  <c r="AK7" i="1"/>
  <c r="AJ7" i="1"/>
  <c r="AI7" i="1"/>
  <c r="K270" i="1" s="1"/>
  <c r="AH7" i="1"/>
  <c r="AG7" i="1"/>
  <c r="AF7" i="1"/>
  <c r="AE7" i="1"/>
  <c r="AD7" i="1"/>
  <c r="AC7" i="1"/>
  <c r="AB7" i="1"/>
  <c r="AA7" i="1"/>
  <c r="Z7" i="1"/>
  <c r="Y7" i="1"/>
  <c r="K273" i="1" s="1"/>
  <c r="X7" i="1"/>
  <c r="W7" i="1"/>
  <c r="V7" i="1"/>
  <c r="U7" i="1"/>
  <c r="T7" i="1"/>
  <c r="S7" i="1"/>
  <c r="R7" i="1"/>
  <c r="Q7" i="1"/>
  <c r="P7" i="1"/>
  <c r="O7" i="1"/>
  <c r="N7" i="1"/>
  <c r="BH3" i="1"/>
  <c r="BG3" i="1"/>
  <c r="BF3" i="1"/>
  <c r="BE3" i="1"/>
  <c r="BD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X3" i="1"/>
  <c r="W3" i="1"/>
  <c r="V3" i="1"/>
  <c r="U3" i="1"/>
  <c r="Q3" i="1"/>
  <c r="P3" i="1"/>
  <c r="O3" i="1"/>
  <c r="N3" i="1"/>
  <c r="S207" i="1" l="1"/>
  <c r="S211" i="1" s="1"/>
  <c r="S193" i="1"/>
  <c r="AA207" i="1"/>
  <c r="AA211" i="1" s="1"/>
  <c r="AA193" i="1"/>
  <c r="AA216" i="1" s="1"/>
  <c r="AA217" i="1" s="1"/>
  <c r="AA218" i="1" s="1"/>
  <c r="AA219" i="1" s="1"/>
  <c r="AI207" i="1"/>
  <c r="AI211" i="1" s="1"/>
  <c r="AI193" i="1"/>
  <c r="AI216" i="1" s="1"/>
  <c r="AI217" i="1" s="1"/>
  <c r="AI214" i="1" s="1"/>
  <c r="AM193" i="1"/>
  <c r="AM216" i="1" s="1"/>
  <c r="AM217" i="1" s="1"/>
  <c r="AM218" i="1" s="1"/>
  <c r="AM219" i="1" s="1"/>
  <c r="Q193" i="1"/>
  <c r="Q216" i="1" s="1"/>
  <c r="Q217" i="1" s="1"/>
  <c r="Q218" i="1" s="1"/>
  <c r="Q219" i="1" s="1"/>
  <c r="Q214" i="1"/>
  <c r="U193" i="1"/>
  <c r="U216" i="1" s="1"/>
  <c r="U217" i="1" s="1"/>
  <c r="U218" i="1" s="1"/>
  <c r="U219" i="1" s="1"/>
  <c r="Y193" i="1"/>
  <c r="Y207" i="1"/>
  <c r="Y211" i="1" s="1"/>
  <c r="AC193" i="1"/>
  <c r="AC207" i="1"/>
  <c r="AC211" i="1" s="1"/>
  <c r="AG193" i="1"/>
  <c r="AG216" i="1" s="1"/>
  <c r="AG217" i="1" s="1"/>
  <c r="AG218" i="1" s="1"/>
  <c r="AG219" i="1" s="1"/>
  <c r="AG214" i="1"/>
  <c r="AK193" i="1"/>
  <c r="AK216" i="1" s="1"/>
  <c r="AK217" i="1" s="1"/>
  <c r="AK218" i="1" s="1"/>
  <c r="AK219" i="1" s="1"/>
  <c r="AK214" i="1"/>
  <c r="AO193" i="1"/>
  <c r="AO207" i="1"/>
  <c r="AO211" i="1" s="1"/>
  <c r="AS193" i="1"/>
  <c r="AS216" i="1" s="1"/>
  <c r="AS217" i="1" s="1"/>
  <c r="AS218" i="1" s="1"/>
  <c r="AS219" i="1" s="1"/>
  <c r="BG193" i="1"/>
  <c r="BG207" i="1"/>
  <c r="BG211" i="1" s="1"/>
  <c r="O193" i="1"/>
  <c r="O216" i="1" s="1"/>
  <c r="O217" i="1" s="1"/>
  <c r="O218" i="1" s="1"/>
  <c r="O219" i="1" s="1"/>
  <c r="O207" i="1"/>
  <c r="O211" i="1" s="1"/>
  <c r="W193" i="1"/>
  <c r="W207" i="1"/>
  <c r="W211" i="1" s="1"/>
  <c r="AE193" i="1"/>
  <c r="AE216" i="1" s="1"/>
  <c r="AE217" i="1" s="1"/>
  <c r="AE218" i="1" s="1"/>
  <c r="AE219" i="1" s="1"/>
  <c r="AQ214" i="1"/>
  <c r="AQ193" i="1"/>
  <c r="AQ216" i="1" s="1"/>
  <c r="AQ217" i="1" s="1"/>
  <c r="R187" i="1"/>
  <c r="V187" i="1"/>
  <c r="AB187" i="1"/>
  <c r="AF187" i="1"/>
  <c r="AJ187" i="1"/>
  <c r="AN187" i="1"/>
  <c r="AP187" i="1"/>
  <c r="AR187" i="1"/>
  <c r="AT187" i="1"/>
  <c r="AV187" i="1"/>
  <c r="AX187" i="1"/>
  <c r="AZ187" i="1"/>
  <c r="BB187" i="1"/>
  <c r="BD187" i="1"/>
  <c r="BF187" i="1"/>
  <c r="BH187" i="1"/>
  <c r="E239" i="1"/>
  <c r="E237" i="1"/>
  <c r="E236" i="1"/>
  <c r="E238" i="1"/>
  <c r="F227" i="1"/>
  <c r="P187" i="1"/>
  <c r="T187" i="1"/>
  <c r="X187" i="1"/>
  <c r="Z187" i="1"/>
  <c r="AD187" i="1"/>
  <c r="AH187" i="1"/>
  <c r="AL187" i="1"/>
  <c r="F230" i="1"/>
  <c r="N189" i="1"/>
  <c r="AB189" i="1"/>
  <c r="AU187" i="1"/>
  <c r="AW187" i="1"/>
  <c r="AY187" i="1"/>
  <c r="BA187" i="1"/>
  <c r="BC187" i="1"/>
  <c r="BE187" i="1"/>
  <c r="F239" i="1"/>
  <c r="F238" i="1"/>
  <c r="F237" i="1"/>
  <c r="F236" i="1"/>
  <c r="I271" i="1"/>
  <c r="J271" i="1" s="1"/>
  <c r="I273" i="1"/>
  <c r="J273" i="1" s="1"/>
  <c r="I272" i="1"/>
  <c r="J272" i="1" s="1"/>
  <c r="K271" i="1"/>
  <c r="F224" i="1"/>
  <c r="F225" i="1"/>
  <c r="F226" i="1"/>
  <c r="C228" i="1"/>
  <c r="C229" i="1"/>
  <c r="N187" i="1"/>
  <c r="M244" i="1"/>
  <c r="M245" i="1"/>
  <c r="M246" i="1"/>
  <c r="G223" i="1"/>
  <c r="H226" i="1" s="1"/>
  <c r="I274" i="1"/>
  <c r="I270" i="1"/>
  <c r="J270" i="1" s="1"/>
  <c r="F223" i="1" l="1"/>
  <c r="BC193" i="1"/>
  <c r="BC216" i="1" s="1"/>
  <c r="BC217" i="1" s="1"/>
  <c r="BC218" i="1" s="1"/>
  <c r="BC219" i="1" s="1"/>
  <c r="AY193" i="1"/>
  <c r="AY216" i="1" s="1"/>
  <c r="AY217" i="1" s="1"/>
  <c r="AY218" i="1" s="1"/>
  <c r="AY219" i="1" s="1"/>
  <c r="AU193" i="1"/>
  <c r="AU216" i="1" s="1"/>
  <c r="AU217" i="1" s="1"/>
  <c r="AU218" i="1" s="1"/>
  <c r="AU219" i="1" s="1"/>
  <c r="AL193" i="1"/>
  <c r="AL216" i="1" s="1"/>
  <c r="AL217" i="1" s="1"/>
  <c r="AL218" i="1" s="1"/>
  <c r="AL219" i="1" s="1"/>
  <c r="AD193" i="1"/>
  <c r="AD216" i="1" s="1"/>
  <c r="AD217" i="1" s="1"/>
  <c r="AD218" i="1" s="1"/>
  <c r="AD219" i="1" s="1"/>
  <c r="X207" i="1"/>
  <c r="X211" i="1" s="1"/>
  <c r="X193" i="1"/>
  <c r="P207" i="1"/>
  <c r="P211" i="1" s="1"/>
  <c r="P193" i="1"/>
  <c r="P216" i="1" s="1"/>
  <c r="P217" i="1" s="1"/>
  <c r="P218" i="1" s="1"/>
  <c r="P219" i="1" s="1"/>
  <c r="BF207" i="1"/>
  <c r="BF211" i="1" s="1"/>
  <c r="BF193" i="1"/>
  <c r="BB207" i="1"/>
  <c r="BB211" i="1" s="1"/>
  <c r="BB193" i="1"/>
  <c r="BB216" i="1" s="1"/>
  <c r="BB217" i="1" s="1"/>
  <c r="BB218" i="1" s="1"/>
  <c r="BB219" i="1" s="1"/>
  <c r="AX207" i="1"/>
  <c r="AX211" i="1" s="1"/>
  <c r="AX193" i="1"/>
  <c r="AT207" i="1"/>
  <c r="AT211" i="1" s="1"/>
  <c r="AT193" i="1"/>
  <c r="AT216" i="1" s="1"/>
  <c r="AT217" i="1" s="1"/>
  <c r="AT218" i="1" s="1"/>
  <c r="AT219" i="1" s="1"/>
  <c r="AP207" i="1"/>
  <c r="AP211" i="1" s="1"/>
  <c r="AP193" i="1"/>
  <c r="AJ207" i="1"/>
  <c r="AJ211" i="1" s="1"/>
  <c r="AJ193" i="1"/>
  <c r="AJ216" i="1" s="1"/>
  <c r="AJ217" i="1" s="1"/>
  <c r="AJ218" i="1" s="1"/>
  <c r="AJ219" i="1" s="1"/>
  <c r="AB193" i="1"/>
  <c r="AB216" i="1" s="1"/>
  <c r="AB217" i="1" s="1"/>
  <c r="AB218" i="1" s="1"/>
  <c r="AB219" i="1" s="1"/>
  <c r="R207" i="1"/>
  <c r="R211" i="1" s="1"/>
  <c r="R193" i="1"/>
  <c r="AC216" i="1"/>
  <c r="AC217" i="1" s="1"/>
  <c r="E273" i="1"/>
  <c r="F273" i="1" s="1"/>
  <c r="E271" i="1"/>
  <c r="F271" i="1" s="1"/>
  <c r="J230" i="1"/>
  <c r="N207" i="1"/>
  <c r="N193" i="1"/>
  <c r="BE193" i="1"/>
  <c r="BE207" i="1"/>
  <c r="BE211" i="1" s="1"/>
  <c r="C239" i="1"/>
  <c r="G239" i="1" s="1"/>
  <c r="C238" i="1"/>
  <c r="G238" i="1" s="1"/>
  <c r="C237" i="1"/>
  <c r="G237" i="1" s="1"/>
  <c r="C236" i="1"/>
  <c r="G236" i="1" s="1"/>
  <c r="BA207" i="1"/>
  <c r="BA211" i="1" s="1"/>
  <c r="BA193" i="1"/>
  <c r="BA216" i="1" s="1"/>
  <c r="BA217" i="1" s="1"/>
  <c r="BA218" i="1" s="1"/>
  <c r="BA219" i="1" s="1"/>
  <c r="AW193" i="1"/>
  <c r="AW216" i="1" s="1"/>
  <c r="AW217" i="1" s="1"/>
  <c r="AW218" i="1" s="1"/>
  <c r="AW219" i="1" s="1"/>
  <c r="AH214" i="1"/>
  <c r="AH193" i="1"/>
  <c r="AH216" i="1" s="1"/>
  <c r="AH217" i="1" s="1"/>
  <c r="AH218" i="1" s="1"/>
  <c r="AH219" i="1" s="1"/>
  <c r="Z214" i="1"/>
  <c r="Z193" i="1"/>
  <c r="Z216" i="1" s="1"/>
  <c r="Z217" i="1" s="1"/>
  <c r="Z218" i="1" s="1"/>
  <c r="Z219" i="1" s="1"/>
  <c r="T214" i="1"/>
  <c r="T193" i="1"/>
  <c r="T216" i="1" s="1"/>
  <c r="T217" i="1" s="1"/>
  <c r="C223" i="1"/>
  <c r="BH207" i="1"/>
  <c r="BH211" i="1" s="1"/>
  <c r="BH193" i="1"/>
  <c r="BD207" i="1"/>
  <c r="BD211" i="1" s="1"/>
  <c r="BD193" i="1"/>
  <c r="BD216" i="1" s="1"/>
  <c r="BD217" i="1" s="1"/>
  <c r="BD218" i="1" s="1"/>
  <c r="BD219" i="1" s="1"/>
  <c r="AZ193" i="1"/>
  <c r="AZ216" i="1" s="1"/>
  <c r="AZ217" i="1" s="1"/>
  <c r="AZ218" i="1" s="1"/>
  <c r="AZ219" i="1" s="1"/>
  <c r="AV193" i="1"/>
  <c r="AV216" i="1" s="1"/>
  <c r="AV217" i="1" s="1"/>
  <c r="AV218" i="1" s="1"/>
  <c r="AV219" i="1" s="1"/>
  <c r="AR207" i="1"/>
  <c r="AR211" i="1" s="1"/>
  <c r="AR193" i="1"/>
  <c r="AN207" i="1"/>
  <c r="AN211" i="1" s="1"/>
  <c r="AN193" i="1"/>
  <c r="AN216" i="1" s="1"/>
  <c r="AN217" i="1" s="1"/>
  <c r="AN218" i="1" s="1"/>
  <c r="AN219" i="1" s="1"/>
  <c r="AF193" i="1"/>
  <c r="AF216" i="1" s="1"/>
  <c r="AF217" i="1" s="1"/>
  <c r="AF218" i="1" s="1"/>
  <c r="AF219" i="1" s="1"/>
  <c r="V193" i="1"/>
  <c r="V216" i="1" s="1"/>
  <c r="V217" i="1" s="1"/>
  <c r="V218" i="1" s="1"/>
  <c r="V219" i="1" s="1"/>
  <c r="AQ218" i="1"/>
  <c r="AQ219" i="1" s="1"/>
  <c r="E272" i="1"/>
  <c r="F272" i="1" s="1"/>
  <c r="AE214" i="1"/>
  <c r="W216" i="1"/>
  <c r="W217" i="1" s="1"/>
  <c r="O214" i="1"/>
  <c r="BG216" i="1"/>
  <c r="BG217" i="1" s="1"/>
  <c r="AS214" i="1"/>
  <c r="AO216" i="1"/>
  <c r="AO217" i="1" s="1"/>
  <c r="Y216" i="1"/>
  <c r="Y217" i="1" s="1"/>
  <c r="U214" i="1"/>
  <c r="AA214" i="1"/>
  <c r="AM214" i="1"/>
  <c r="E270" i="1"/>
  <c r="S216" i="1"/>
  <c r="S217" i="1" s="1"/>
  <c r="S214" i="1" s="1"/>
  <c r="H273" i="1" l="1"/>
  <c r="Y218" i="1"/>
  <c r="Y219" i="1" s="1"/>
  <c r="Y214" i="1"/>
  <c r="AN214" i="1"/>
  <c r="BD214" i="1"/>
  <c r="H223" i="1"/>
  <c r="D227" i="1"/>
  <c r="D230" i="1"/>
  <c r="D225" i="1"/>
  <c r="D224" i="1"/>
  <c r="D226" i="1"/>
  <c r="BE216" i="1"/>
  <c r="BE217" i="1" s="1"/>
  <c r="N216" i="1"/>
  <c r="N217" i="1" s="1"/>
  <c r="AC218" i="1"/>
  <c r="AC219" i="1" s="1"/>
  <c r="AC214" i="1"/>
  <c r="AJ214" i="1"/>
  <c r="AT214" i="1"/>
  <c r="BB214" i="1"/>
  <c r="P214" i="1"/>
  <c r="E274" i="1"/>
  <c r="F270" i="1"/>
  <c r="AO218" i="1"/>
  <c r="AO219" i="1" s="1"/>
  <c r="AO214" i="1"/>
  <c r="BG218" i="1"/>
  <c r="BG219" i="1" s="1"/>
  <c r="BG214" i="1"/>
  <c r="W218" i="1"/>
  <c r="W219" i="1" s="1"/>
  <c r="W214" i="1"/>
  <c r="V214" i="1"/>
  <c r="AF214" i="1"/>
  <c r="AR216" i="1"/>
  <c r="AR217" i="1" s="1"/>
  <c r="AV214" i="1"/>
  <c r="AZ214" i="1"/>
  <c r="BH216" i="1"/>
  <c r="BH217" i="1" s="1"/>
  <c r="AW214" i="1"/>
  <c r="BA214" i="1"/>
  <c r="D228" i="1"/>
  <c r="J222" i="1" s="1"/>
  <c r="L248" i="1"/>
  <c r="N211" i="1"/>
  <c r="R216" i="1"/>
  <c r="R217" i="1" s="1"/>
  <c r="R214" i="1" s="1"/>
  <c r="AB214" i="1"/>
  <c r="AP216" i="1"/>
  <c r="AP217" i="1" s="1"/>
  <c r="AX216" i="1"/>
  <c r="AX217" i="1" s="1"/>
  <c r="BF216" i="1"/>
  <c r="BF217" i="1" s="1"/>
  <c r="X216" i="1"/>
  <c r="X217" i="1" s="1"/>
  <c r="AD214" i="1"/>
  <c r="AL214" i="1"/>
  <c r="AU214" i="1"/>
  <c r="AY214" i="1"/>
  <c r="BC214" i="1"/>
  <c r="D229" i="1"/>
  <c r="H271" i="1" l="1"/>
  <c r="E223" i="1"/>
  <c r="H270" i="1"/>
  <c r="N214" i="1"/>
  <c r="X218" i="1"/>
  <c r="X219" i="1" s="1"/>
  <c r="X214" i="1"/>
  <c r="AX218" i="1"/>
  <c r="AX219" i="1" s="1"/>
  <c r="AX214" i="1"/>
  <c r="AR218" i="1"/>
  <c r="AR219" i="1" s="1"/>
  <c r="AR214" i="1"/>
  <c r="H272" i="1"/>
  <c r="BE218" i="1"/>
  <c r="BE219" i="1" s="1"/>
  <c r="BE214" i="1"/>
  <c r="H239" i="1"/>
  <c r="M239" i="1" s="1"/>
  <c r="H238" i="1"/>
  <c r="M238" i="1" s="1"/>
  <c r="H237" i="1"/>
  <c r="M237" i="1" s="1"/>
  <c r="H236" i="1"/>
  <c r="M236" i="1" s="1"/>
  <c r="BF218" i="1"/>
  <c r="BF219" i="1" s="1"/>
  <c r="BF214" i="1"/>
  <c r="AP218" i="1"/>
  <c r="AP219" i="1" s="1"/>
  <c r="AP214" i="1"/>
  <c r="BH218" i="1"/>
  <c r="BH219" i="1" s="1"/>
  <c r="BH214" i="1"/>
  <c r="H274" i="1" l="1"/>
  <c r="E228" i="1"/>
  <c r="E225" i="1"/>
  <c r="E230" i="1"/>
  <c r="E229" i="1"/>
  <c r="E227" i="1"/>
  <c r="E226" i="1"/>
  <c r="E224" i="1"/>
</calcChain>
</file>

<file path=xl/comments1.xml><?xml version="1.0" encoding="utf-8"?>
<comments xmlns="http://schemas.openxmlformats.org/spreadsheetml/2006/main">
  <authors>
    <author>Автор</author>
  </authors>
  <commentList>
    <comment ref="AM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сдался диспетчерам</t>
        </r>
      </text>
    </comment>
    <comment ref="Z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планшет</t>
        </r>
      </text>
    </comment>
    <comment ref="AI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обучение планшет</t>
        </r>
      </text>
    </comment>
    <comment ref="AK6" authorId="0" shapeId="0">
      <text>
        <r>
          <rPr>
            <b/>
            <sz val="9"/>
            <color indexed="81"/>
            <rFont val="Tahoma"/>
            <family val="2"/>
            <charset val="204"/>
          </rPr>
          <t>заглох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Z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ремонт</t>
        </r>
      </text>
    </comment>
    <comment ref="BB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антифриз, поломка печки приеззжал на базу</t>
        </r>
      </text>
    </comment>
    <comment ref="O1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много спит 
</t>
        </r>
      </text>
    </comment>
    <comment ref="AN15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б/н дергал 185 борт 
</t>
        </r>
      </text>
    </comment>
    <comment ref="AA2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вернул разницу за прошлый заказ</t>
        </r>
      </text>
    </comment>
  </commentList>
</comments>
</file>

<file path=xl/sharedStrings.xml><?xml version="1.0" encoding="utf-8"?>
<sst xmlns="http://schemas.openxmlformats.org/spreadsheetml/2006/main" count="460" uniqueCount="242">
  <si>
    <t>31.01.2016 - 01.02.2016</t>
  </si>
  <si>
    <t>время выезда на смену</t>
  </si>
  <si>
    <t>время окончания смены</t>
  </si>
  <si>
    <t>время вынужденного простоя (авария, тех. проблемы)</t>
  </si>
  <si>
    <t>количество рабочих часов</t>
  </si>
  <si>
    <t>позывной</t>
  </si>
  <si>
    <t>995/4бам/гетт</t>
  </si>
  <si>
    <t>099/7бам/гетт</t>
  </si>
  <si>
    <t>117/6бам</t>
  </si>
  <si>
    <t>526/2бам</t>
  </si>
  <si>
    <t>682/8бам/гетт</t>
  </si>
  <si>
    <t>066/10 бам</t>
  </si>
  <si>
    <t>805/1бам/гетт</t>
  </si>
  <si>
    <t>746/9бам/гетт</t>
  </si>
  <si>
    <t>302/3бам/гетт</t>
  </si>
  <si>
    <t>150/11бам</t>
  </si>
  <si>
    <t>074/5бам/гетт</t>
  </si>
  <si>
    <t>069/8хелп</t>
  </si>
  <si>
    <t>178/13хелп</t>
  </si>
  <si>
    <t>104/12 хелп</t>
  </si>
  <si>
    <t>673/7хелп/гетт</t>
  </si>
  <si>
    <t>017/гетт</t>
  </si>
  <si>
    <t>024/гетт</t>
  </si>
  <si>
    <t>087/3хелп/гетт</t>
  </si>
  <si>
    <t>815/гетт</t>
  </si>
  <si>
    <t>333/гетт</t>
  </si>
  <si>
    <t>400гетт</t>
  </si>
  <si>
    <t>201</t>
  </si>
  <si>
    <t>456</t>
  </si>
  <si>
    <t>185</t>
  </si>
  <si>
    <t>183</t>
  </si>
  <si>
    <t>169/6хелп</t>
  </si>
  <si>
    <t>192</t>
  </si>
  <si>
    <t>108</t>
  </si>
  <si>
    <t>184</t>
  </si>
  <si>
    <t>525/гетт</t>
  </si>
  <si>
    <t>103/гетт</t>
  </si>
  <si>
    <t>566/гетт</t>
  </si>
  <si>
    <t>030/гетт</t>
  </si>
  <si>
    <t>014/гетт</t>
  </si>
  <si>
    <t>008/гетт</t>
  </si>
  <si>
    <t>023/гетт</t>
  </si>
  <si>
    <t>013</t>
  </si>
  <si>
    <t>718</t>
  </si>
  <si>
    <t>015</t>
  </si>
  <si>
    <t>048</t>
  </si>
  <si>
    <t>060/гетт</t>
  </si>
  <si>
    <t>186</t>
  </si>
  <si>
    <t>126/гетт</t>
  </si>
  <si>
    <t>121/11хелп/гетт</t>
  </si>
  <si>
    <t>Модель и марка автомобиля</t>
  </si>
  <si>
    <t>VW POLO NEW</t>
  </si>
  <si>
    <t>SKODA RAPID</t>
  </si>
  <si>
    <t>VW POLO</t>
  </si>
  <si>
    <t>KIA CEED</t>
  </si>
  <si>
    <t>Номер автомобиля</t>
  </si>
  <si>
    <t>173</t>
  </si>
  <si>
    <t>513</t>
  </si>
  <si>
    <t>620</t>
  </si>
  <si>
    <t>665</t>
  </si>
  <si>
    <t>671</t>
  </si>
  <si>
    <t>672</t>
  </si>
  <si>
    <t>674</t>
  </si>
  <si>
    <t>683</t>
  </si>
  <si>
    <t>688</t>
  </si>
  <si>
    <t>696</t>
  </si>
  <si>
    <t>700</t>
  </si>
  <si>
    <t>424</t>
  </si>
  <si>
    <t>434</t>
  </si>
  <si>
    <t>436</t>
  </si>
  <si>
    <t>543</t>
  </si>
  <si>
    <t>545</t>
  </si>
  <si>
    <t>553</t>
  </si>
  <si>
    <t>560</t>
  </si>
  <si>
    <t>735</t>
  </si>
  <si>
    <t>738</t>
  </si>
  <si>
    <t>757</t>
  </si>
  <si>
    <t>258</t>
  </si>
  <si>
    <t>649</t>
  </si>
  <si>
    <t>691</t>
  </si>
  <si>
    <t>721</t>
  </si>
  <si>
    <t>728</t>
  </si>
  <si>
    <t>781</t>
  </si>
  <si>
    <t>901</t>
  </si>
  <si>
    <t>902</t>
  </si>
  <si>
    <t>241</t>
  </si>
  <si>
    <t>248</t>
  </si>
  <si>
    <t>249</t>
  </si>
  <si>
    <t>250</t>
  </si>
  <si>
    <t>304</t>
  </si>
  <si>
    <t>326</t>
  </si>
  <si>
    <t>327</t>
  </si>
  <si>
    <t>339</t>
  </si>
  <si>
    <t>340</t>
  </si>
  <si>
    <t>478</t>
  </si>
  <si>
    <t>604</t>
  </si>
  <si>
    <t>629</t>
  </si>
  <si>
    <t>705</t>
  </si>
  <si>
    <t>817</t>
  </si>
  <si>
    <t>819</t>
  </si>
  <si>
    <t>832</t>
  </si>
  <si>
    <t>915</t>
  </si>
  <si>
    <t>916</t>
  </si>
  <si>
    <t>Ф.И.О. арендатора</t>
  </si>
  <si>
    <t>Гаврилов Михаил</t>
  </si>
  <si>
    <t>Цветков Александр</t>
  </si>
  <si>
    <t>Вебер Сергей</t>
  </si>
  <si>
    <t>Мишин Виктор</t>
  </si>
  <si>
    <t>Чернобай Андрей</t>
  </si>
  <si>
    <t>Бондарев Дмитрий</t>
  </si>
  <si>
    <t>Томин Дмитрий</t>
  </si>
  <si>
    <t>Васильев Павел</t>
  </si>
  <si>
    <t>Пузанов Александр</t>
  </si>
  <si>
    <t>Пампушин Сергей</t>
  </si>
  <si>
    <t>Прийменко Сергей</t>
  </si>
  <si>
    <t>Кошелев Адрей</t>
  </si>
  <si>
    <t>ХРИПКО Илиана</t>
  </si>
  <si>
    <t>Верецкий Артем</t>
  </si>
  <si>
    <t>Соловенко Игорь</t>
  </si>
  <si>
    <t>Горкин Валерий</t>
  </si>
  <si>
    <t>Саулин Сергей</t>
  </si>
  <si>
    <t>Сергиенко Андрей</t>
  </si>
  <si>
    <t>Сайганов  Роман</t>
  </si>
  <si>
    <t>Чернов Александр</t>
  </si>
  <si>
    <t>Числавский Максим</t>
  </si>
  <si>
    <t>Сесин Георгий</t>
  </si>
  <si>
    <t>Крупкин Юрий</t>
  </si>
  <si>
    <t>Ф.И.О. диспетчера</t>
  </si>
  <si>
    <t>Харатян Нектарина</t>
  </si>
  <si>
    <t>Савенкова Ирина</t>
  </si>
  <si>
    <t>City Mobil СУММА ЗАКАЗОВ</t>
  </si>
  <si>
    <t>х</t>
  </si>
  <si>
    <t>Х</t>
  </si>
  <si>
    <t>Now Taxi СУММА ЗАКАЗОВ</t>
  </si>
  <si>
    <t xml:space="preserve">х </t>
  </si>
  <si>
    <t>хх</t>
  </si>
  <si>
    <t>РБТ СУММА ЗАКАЗОВ</t>
  </si>
  <si>
    <t>ПРЕСТИЖ СУММА ЗАКАЗОВ</t>
  </si>
  <si>
    <t>GETT TAXI сумма заказов</t>
  </si>
  <si>
    <t>от руки СУММА ЗАКАЗОВ</t>
  </si>
  <si>
    <t>1-C:ТАКСИ сумма заказов</t>
  </si>
  <si>
    <t>ИТОГОВАЯ СУММА ЗАКАЗОВ</t>
  </si>
  <si>
    <t>ВВОДНЫЕ ДАННЫЕ</t>
  </si>
  <si>
    <t>количество заказов</t>
  </si>
  <si>
    <t>Переменный коэффициент выручки</t>
  </si>
  <si>
    <t>40/60</t>
  </si>
  <si>
    <t>ЗАКАЗЫ  КОМПАНИИ (в т.ч. личные сотрудников)</t>
  </si>
  <si>
    <t>Компенсация водителю :</t>
  </si>
  <si>
    <t>Реальная сумма заказов :</t>
  </si>
  <si>
    <t>Реальный коэффициент выручки:</t>
  </si>
  <si>
    <t>ВЫЧЕТЫ</t>
  </si>
  <si>
    <t>БЕЗНАЛ</t>
  </si>
  <si>
    <t>Оплата БОНУСАМИ</t>
  </si>
  <si>
    <t>Оплата ЭЛЕКТРОННЫМИ ДЕНЬГАМИ</t>
  </si>
  <si>
    <t>Компенсация СИТИ за минималки</t>
  </si>
  <si>
    <t>Оплата за БЕЗНАЛ (ШЕФ, Престиж)</t>
  </si>
  <si>
    <t>Оплата за БЕЗНАЛ ГЕТТ</t>
  </si>
  <si>
    <t>КОМПЕНСАЦИЯ ЗА УСЛУГУ ТРЕЗВОГО ВОДИТЕЛЯ (такси до авто)</t>
  </si>
  <si>
    <t>БОНУС ЗА ВЫРУЧКУ (от 12 000 - 250 руб., от 13 000 - 500 руб.)</t>
  </si>
  <si>
    <t>Итого вычеты:</t>
  </si>
  <si>
    <t>НАЧИСЛЕНИЯ</t>
  </si>
  <si>
    <t>ШТРАФЫ Citi Mobil</t>
  </si>
  <si>
    <t>ШТРАФЫ Now Taxi</t>
  </si>
  <si>
    <t>ВЗНОС НА ДЕПОЗИТ (ИЛИ НЕДОСДАЧА)</t>
  </si>
  <si>
    <t>Сдача водителя CASH ГЕТТ</t>
  </si>
  <si>
    <t>ДОЛГ С КЛИЕНТА, СДАЧА КЛИЕНТУ НА БОНУСЫ,</t>
  </si>
  <si>
    <t>Итого начисления:</t>
  </si>
  <si>
    <t>ДЛЯ ИНФОРМАЦИИ</t>
  </si>
  <si>
    <t>ТОПЛИВО (если надо, можно внести)</t>
  </si>
  <si>
    <t>Неправильное закрытие заказа по бонусам -60%</t>
  </si>
  <si>
    <t>З/П ВОДИТЕЛЯ</t>
  </si>
  <si>
    <t>Итого с водителя (до округления):</t>
  </si>
  <si>
    <t>ВЗЯТЬ С ВОДИТЕЛЯ</t>
  </si>
  <si>
    <t>ОБЩИЕ ДАННЫЕ ПО ПАРКУ</t>
  </si>
  <si>
    <t>владелец
 заказа</t>
  </si>
  <si>
    <t>общая
выручка</t>
  </si>
  <si>
    <t>%</t>
  </si>
  <si>
    <t>чистая
 выручка</t>
  </si>
  <si>
    <t>кол-во
заказов</t>
  </si>
  <si>
    <t>кол-во
бортов</t>
  </si>
  <si>
    <t>средняя 
по парку</t>
  </si>
  <si>
    <t>% ГЕТТ</t>
  </si>
  <si>
    <t>City Mobil</t>
  </si>
  <si>
    <t>з/п мойщиков, 50 р. чел./маш.</t>
  </si>
  <si>
    <t>Now Taxi</t>
  </si>
  <si>
    <t>РБТ</t>
  </si>
  <si>
    <t>max. РБТ</t>
  </si>
  <si>
    <t>Количество работающих в ГЕТТ</t>
  </si>
  <si>
    <t>Престиж</t>
  </si>
  <si>
    <t>GETT TAXI</t>
  </si>
  <si>
    <t>От руки</t>
  </si>
  <si>
    <t>1-C:ТАКСИ</t>
  </si>
  <si>
    <t>ПЛАН</t>
  </si>
  <si>
    <t>количество бонусных арендаторов</t>
  </si>
  <si>
    <t>РАСЧЁТ ИТОГОВ СМЕНЫ ДИСПЕТЧЕРОВ</t>
  </si>
  <si>
    <t>расчёт вознаграждения и бонуса диспетчера</t>
  </si>
  <si>
    <t>расчёт заработной платы</t>
  </si>
  <si>
    <t>ИТОГО
НА РУКИ</t>
  </si>
  <si>
    <t>Общая выручка</t>
  </si>
  <si>
    <t>Количество боротов</t>
  </si>
  <si>
    <t>Количество заказов</t>
  </si>
  <si>
    <t>Средняя диспетчера</t>
  </si>
  <si>
    <t>грязная
("+")</t>
  </si>
  <si>
    <t>премия
("+")</t>
  </si>
  <si>
    <t>штрафы
("-")</t>
  </si>
  <si>
    <t>депозит
("-")</t>
  </si>
  <si>
    <t>бонус
("+")</t>
  </si>
  <si>
    <t>ПРИМЕЧАНИЯ</t>
  </si>
  <si>
    <t>Вознаграждение</t>
  </si>
  <si>
    <t xml:space="preserve">менее </t>
  </si>
  <si>
    <t>Диспетчер 2го уровня и/или стажёр 
50% от вознаграждения диспечера
 1го уровня, но не менее 1500 руб.</t>
  </si>
  <si>
    <t xml:space="preserve"> </t>
  </si>
  <si>
    <t xml:space="preserve"> диспетчера:</t>
  </si>
  <si>
    <t>Оплата ЭЛЕКТРО ДЕНЬГАМИ</t>
  </si>
  <si>
    <t>Оплата за БЕЗНАЛ ШЕФ, Престиж</t>
  </si>
  <si>
    <t>ЗАКАЗЫ КОМПАНИИ</t>
  </si>
  <si>
    <t>Взносы на депозит</t>
  </si>
  <si>
    <r>
      <t xml:space="preserve">ПРИМЕЧАНИЯ:
1. Ставка покупки заказов с биржи РБТ не должна превышать 20% от номинальной стоимости;
2. Количество заказов приобретённых с биржи РБТ за сутки не должно превышать 2000 руб. на один Борт в сумме на всю смену;
</t>
    </r>
    <r>
      <rPr>
        <sz val="10"/>
        <color rgb="FFFF0000"/>
        <rFont val="Times New Roman"/>
        <family val="1"/>
        <charset val="204"/>
      </rPr>
      <t>3. ШТРАФ за несоблюдение п. 1 и п.2 - 5000 руб. с каждого диспетчера смены</t>
    </r>
  </si>
  <si>
    <t>+250 р.</t>
  </si>
  <si>
    <t>за каждые 500 р.</t>
  </si>
  <si>
    <t xml:space="preserve">Бонус Диспетчера </t>
  </si>
  <si>
    <t>от вознаграждения в зависимости от % выручки от альтернативных поставщиков</t>
  </si>
  <si>
    <t>ШТРАФ</t>
  </si>
  <si>
    <t>по усмотрению старшего диспетчера смены</t>
  </si>
  <si>
    <t>Допбонус</t>
  </si>
  <si>
    <t>доплата за функцинал старшего диспетчера</t>
  </si>
  <si>
    <t>при средней выручке cвыше ПЛАНА арендаторов</t>
  </si>
  <si>
    <t>Кол-во авто на линии</t>
  </si>
  <si>
    <t xml:space="preserve"> Общая выручка</t>
  </si>
  <si>
    <t>Средняя от ср. машин</t>
  </si>
  <si>
    <t>Чистая выручка</t>
  </si>
  <si>
    <t>Средние машиночасы</t>
  </si>
  <si>
    <t>Кол-во авто среднее</t>
  </si>
  <si>
    <t>VW POLO 2015</t>
  </si>
  <si>
    <t>ИТОГО</t>
  </si>
  <si>
    <t xml:space="preserve">Информация для сотрудников, проводящих пересменку </t>
  </si>
  <si>
    <t>Перед приемом денежных средств:</t>
  </si>
  <si>
    <t>1. Проверить соответствие проставленных в отчете подстраховок, штрафов - согласовать с диспетчером</t>
  </si>
  <si>
    <t>2. Проверить количество просмотров конечного адреса (бесплатно разрешается просмотр 5 пунктов каждому диспетчеру) , всё, что свыше 15 просмотров списывается с диспетчеров (20 рублей за просмотр)</t>
  </si>
  <si>
    <t>3. Проверить сдачу клиентам</t>
  </si>
  <si>
    <t xml:space="preserve">3.  При услуге трезвый водитель сумма оплаты за возврат к своему борту (метро, такси) в размере 50% </t>
  </si>
  <si>
    <t xml:space="preserve">4. Проверять время последних заказов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</si>
</sst>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d/m;@"/>
    <numFmt numFmtId="165" formatCode="[$-F800]dddd\,\ mmmm\ dd\,\ yyyy"/>
    <numFmt numFmtId="166" formatCode="h:mm;@"/>
    <numFmt numFmtId="167" formatCode="dd/mm/yy\ h:mm;@"/>
    <numFmt numFmtId="168" formatCode="[$-F400]h:mm:ss\ AM/PM"/>
    <numFmt numFmtId="169" formatCode="#,##0_р_."/>
    <numFmt numFmtId="170" formatCode="#,##0&quot;р.&quot;"/>
    <numFmt numFmtId="171" formatCode="#,##0.00&quot;р.&quot;"/>
    <numFmt numFmtId="172" formatCode="0.0000"/>
    <numFmt numFmtId="173" formatCode="[h]:mm:ss;@"/>
  </numFmts>
  <fonts count="4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FFBE3B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8"/>
      <color rgb="FF0000FF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b/>
      <sz val="8"/>
      <color theme="1" tint="4.9989318521683403E-2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color rgb="FF0000FF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i/>
      <sz val="10"/>
      <color rgb="FF0000FF"/>
      <name val="Times New Roman"/>
      <family val="1"/>
      <charset val="204"/>
    </font>
    <font>
      <b/>
      <i/>
      <sz val="10"/>
      <color rgb="FF0000FF"/>
      <name val="Times New Roman"/>
      <family val="1"/>
      <charset val="204"/>
    </font>
    <font>
      <i/>
      <sz val="14"/>
      <color rgb="FF0000FF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b/>
      <sz val="10"/>
      <color rgb="FF009900"/>
      <name val="Times New Roman"/>
      <family val="1"/>
      <charset val="204"/>
    </font>
    <font>
      <sz val="10"/>
      <color rgb="FF00990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b/>
      <sz val="10"/>
      <color rgb="FF0000CC"/>
      <name val="Times New Roman"/>
      <family val="1"/>
      <charset val="204"/>
    </font>
    <font>
      <b/>
      <sz val="10"/>
      <color rgb="FF00B0F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8"/>
      <color rgb="FF00B05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BE3B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59999389629810485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2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2" fontId="3" fillId="2" borderId="0" xfId="0" applyNumberFormat="1" applyFont="1" applyFill="1" applyBorder="1" applyAlignment="1" applyProtection="1">
      <alignment horizontal="center" vertical="center"/>
      <protection locked="0"/>
    </xf>
    <xf numFmtId="1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2" fontId="5" fillId="2" borderId="0" xfId="0" applyNumberFormat="1" applyFont="1" applyFill="1" applyBorder="1" applyAlignment="1" applyProtection="1">
      <alignment horizontal="left" vertical="center"/>
      <protection locked="0"/>
    </xf>
    <xf numFmtId="2" fontId="5" fillId="2" borderId="0" xfId="0" applyNumberFormat="1" applyFont="1" applyFill="1" applyBorder="1" applyAlignment="1" applyProtection="1">
      <alignment vertical="center"/>
      <protection locked="0"/>
    </xf>
    <xf numFmtId="2" fontId="6" fillId="2" borderId="0" xfId="0" applyNumberFormat="1" applyFont="1" applyFill="1" applyBorder="1" applyProtection="1">
      <protection locked="0"/>
    </xf>
    <xf numFmtId="2" fontId="6" fillId="2" borderId="0" xfId="0" applyNumberFormat="1" applyFont="1" applyFill="1" applyBorder="1" applyAlignment="1" applyProtection="1">
      <alignment horizontal="center"/>
      <protection locked="0"/>
    </xf>
    <xf numFmtId="2" fontId="7" fillId="2" borderId="0" xfId="0" applyNumberFormat="1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22" fontId="5" fillId="2" borderId="0" xfId="0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Border="1" applyProtection="1">
      <protection locked="0"/>
    </xf>
    <xf numFmtId="166" fontId="8" fillId="2" borderId="0" xfId="0" applyNumberFormat="1" applyFont="1" applyFill="1" applyProtection="1">
      <protection locked="0"/>
    </xf>
    <xf numFmtId="167" fontId="9" fillId="4" borderId="6" xfId="0" applyNumberFormat="1" applyFont="1" applyFill="1" applyBorder="1" applyAlignment="1" applyProtection="1">
      <alignment horizontal="center" vertical="center" wrapText="1"/>
    </xf>
    <xf numFmtId="167" fontId="9" fillId="4" borderId="7" xfId="0" applyNumberFormat="1" applyFont="1" applyFill="1" applyBorder="1" applyAlignment="1" applyProtection="1">
      <alignment horizontal="center" vertical="center" wrapText="1"/>
    </xf>
    <xf numFmtId="167" fontId="9" fillId="4" borderId="8" xfId="0" applyNumberFormat="1" applyFont="1" applyFill="1" applyBorder="1" applyAlignment="1" applyProtection="1">
      <alignment horizontal="center" vertical="center" wrapText="1"/>
    </xf>
    <xf numFmtId="167" fontId="9" fillId="4" borderId="9" xfId="0" applyNumberFormat="1" applyFont="1" applyFill="1" applyBorder="1" applyAlignment="1" applyProtection="1">
      <alignment horizontal="center" vertical="center" wrapText="1"/>
    </xf>
    <xf numFmtId="167" fontId="9" fillId="4" borderId="9" xfId="0" applyNumberFormat="1" applyFont="1" applyFill="1" applyBorder="1" applyAlignment="1" applyProtection="1">
      <alignment wrapText="1"/>
    </xf>
    <xf numFmtId="167" fontId="9" fillId="4" borderId="12" xfId="0" applyNumberFormat="1" applyFont="1" applyFill="1" applyBorder="1" applyAlignment="1" applyProtection="1">
      <alignment horizontal="center" vertical="center" wrapText="1"/>
    </xf>
    <xf numFmtId="167" fontId="9" fillId="4" borderId="13" xfId="0" applyNumberFormat="1" applyFont="1" applyFill="1" applyBorder="1" applyAlignment="1" applyProtection="1">
      <alignment horizontal="center" vertical="center" wrapText="1"/>
    </xf>
    <xf numFmtId="167" fontId="9" fillId="4" borderId="14" xfId="0" applyNumberFormat="1" applyFont="1" applyFill="1" applyBorder="1" applyAlignment="1" applyProtection="1">
      <alignment horizontal="center" vertical="center" wrapText="1"/>
    </xf>
    <xf numFmtId="167" fontId="9" fillId="4" borderId="15" xfId="0" applyNumberFormat="1" applyFont="1" applyFill="1" applyBorder="1" applyAlignment="1" applyProtection="1">
      <alignment horizontal="center" vertical="center" wrapText="1"/>
    </xf>
    <xf numFmtId="167" fontId="9" fillId="4" borderId="15" xfId="0" applyNumberFormat="1" applyFont="1" applyFill="1" applyBorder="1" applyAlignment="1" applyProtection="1">
      <alignment wrapText="1"/>
    </xf>
    <xf numFmtId="166" fontId="9" fillId="4" borderId="12" xfId="0" applyNumberFormat="1" applyFont="1" applyFill="1" applyBorder="1" applyAlignment="1" applyProtection="1">
      <alignment horizontal="center" vertical="center" wrapText="1"/>
    </xf>
    <xf numFmtId="166" fontId="9" fillId="4" borderId="13" xfId="0" applyNumberFormat="1" applyFont="1" applyFill="1" applyBorder="1" applyAlignment="1" applyProtection="1">
      <alignment horizontal="center" vertical="center" wrapText="1"/>
    </xf>
    <xf numFmtId="166" fontId="9" fillId="4" borderId="14" xfId="0" applyNumberFormat="1" applyFont="1" applyFill="1" applyBorder="1" applyAlignment="1" applyProtection="1">
      <alignment horizontal="center" vertical="center" wrapText="1"/>
    </xf>
    <xf numFmtId="166" fontId="9" fillId="4" borderId="15" xfId="0" applyNumberFormat="1" applyFont="1" applyFill="1" applyBorder="1" applyAlignment="1" applyProtection="1">
      <alignment horizontal="center" vertical="center" wrapText="1"/>
    </xf>
    <xf numFmtId="166" fontId="9" fillId="4" borderId="15" xfId="0" applyNumberFormat="1" applyFont="1" applyFill="1" applyBorder="1" applyAlignment="1" applyProtection="1">
      <alignment wrapText="1"/>
    </xf>
    <xf numFmtId="168" fontId="8" fillId="2" borderId="0" xfId="0" applyNumberFormat="1" applyFont="1" applyFill="1" applyProtection="1">
      <protection locked="0"/>
    </xf>
    <xf numFmtId="168" fontId="9" fillId="4" borderId="12" xfId="0" applyNumberFormat="1" applyFont="1" applyFill="1" applyBorder="1" applyAlignment="1" applyProtection="1">
      <alignment horizontal="center" vertical="center"/>
    </xf>
    <xf numFmtId="168" fontId="9" fillId="4" borderId="13" xfId="0" applyNumberFormat="1" applyFont="1" applyFill="1" applyBorder="1" applyAlignment="1" applyProtection="1">
      <alignment horizontal="center" vertical="center"/>
    </xf>
    <xf numFmtId="168" fontId="9" fillId="4" borderId="14" xfId="0" applyNumberFormat="1" applyFont="1" applyFill="1" applyBorder="1" applyAlignment="1" applyProtection="1">
      <alignment horizontal="center" vertical="center"/>
    </xf>
    <xf numFmtId="168" fontId="9" fillId="4" borderId="15" xfId="0" applyNumberFormat="1" applyFont="1" applyFill="1" applyBorder="1" applyAlignment="1" applyProtection="1">
      <alignment horizontal="center" vertical="center"/>
    </xf>
    <xf numFmtId="49" fontId="11" fillId="5" borderId="16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18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12" fillId="5" borderId="16" xfId="0" applyNumberFormat="1" applyFont="1" applyFill="1" applyBorder="1" applyAlignment="1" applyProtection="1">
      <alignment horizontal="center" vertical="center" wrapText="1"/>
      <protection locked="0"/>
    </xf>
    <xf numFmtId="49" fontId="12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12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0" xfId="0" applyNumberFormat="1" applyFont="1" applyFill="1" applyAlignment="1" applyProtection="1">
      <alignment horizontal="center" vertical="center"/>
      <protection locked="0"/>
    </xf>
    <xf numFmtId="49" fontId="13" fillId="5" borderId="16" xfId="0" applyNumberFormat="1" applyFont="1" applyFill="1" applyBorder="1" applyAlignment="1" applyProtection="1">
      <alignment horizontal="center" vertical="center" wrapText="1"/>
    </xf>
    <xf numFmtId="49" fontId="13" fillId="5" borderId="17" xfId="0" applyNumberFormat="1" applyFont="1" applyFill="1" applyBorder="1" applyAlignment="1" applyProtection="1">
      <alignment horizontal="center" vertical="center" wrapText="1"/>
    </xf>
    <xf numFmtId="49" fontId="13" fillId="5" borderId="18" xfId="0" applyNumberFormat="1" applyFont="1" applyFill="1" applyBorder="1" applyAlignment="1" applyProtection="1">
      <alignment horizontal="center" vertical="center" wrapText="1"/>
    </xf>
    <xf numFmtId="49" fontId="14" fillId="5" borderId="16" xfId="0" applyNumberFormat="1" applyFont="1" applyFill="1" applyBorder="1" applyAlignment="1" applyProtection="1">
      <alignment horizontal="center" vertical="center" wrapText="1"/>
    </xf>
    <xf numFmtId="49" fontId="14" fillId="5" borderId="17" xfId="0" applyNumberFormat="1" applyFont="1" applyFill="1" applyBorder="1" applyAlignment="1" applyProtection="1">
      <alignment horizontal="center" vertical="center" wrapText="1"/>
    </xf>
    <xf numFmtId="49" fontId="14" fillId="5" borderId="19" xfId="0" applyNumberFormat="1" applyFont="1" applyFill="1" applyBorder="1" applyAlignment="1" applyProtection="1">
      <alignment horizontal="center" vertical="center" wrapText="1"/>
    </xf>
    <xf numFmtId="49" fontId="15" fillId="5" borderId="16" xfId="0" applyNumberFormat="1" applyFont="1" applyFill="1" applyBorder="1" applyAlignment="1" applyProtection="1">
      <alignment horizontal="center" vertical="center" wrapText="1"/>
    </xf>
    <xf numFmtId="49" fontId="12" fillId="5" borderId="17" xfId="0" applyNumberFormat="1" applyFont="1" applyFill="1" applyBorder="1" applyAlignment="1" applyProtection="1">
      <alignment horizontal="center" vertical="center" wrapText="1"/>
    </xf>
    <xf numFmtId="49" fontId="12" fillId="5" borderId="19" xfId="0" applyNumberFormat="1" applyFont="1" applyFill="1" applyBorder="1" applyAlignment="1" applyProtection="1">
      <alignment horizontal="center" vertical="center" wrapText="1"/>
    </xf>
    <xf numFmtId="49" fontId="1" fillId="2" borderId="0" xfId="0" applyNumberFormat="1" applyFont="1" applyFill="1" applyProtection="1">
      <protection locked="0"/>
    </xf>
    <xf numFmtId="49" fontId="10" fillId="5" borderId="16" xfId="0" applyNumberFormat="1" applyFont="1" applyFill="1" applyBorder="1" applyAlignment="1" applyProtection="1">
      <alignment horizontal="center" vertical="center" wrapText="1"/>
    </xf>
    <xf numFmtId="49" fontId="10" fillId="5" borderId="17" xfId="0" applyNumberFormat="1" applyFont="1" applyFill="1" applyBorder="1" applyAlignment="1" applyProtection="1">
      <alignment horizontal="center" vertical="center" wrapText="1"/>
    </xf>
    <xf numFmtId="49" fontId="10" fillId="5" borderId="19" xfId="0" applyNumberFormat="1" applyFont="1" applyFill="1" applyBorder="1" applyAlignment="1" applyProtection="1">
      <alignment horizontal="center" vertical="center" wrapText="1"/>
    </xf>
    <xf numFmtId="49" fontId="10" fillId="5" borderId="18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Protection="1">
      <protection locked="0"/>
    </xf>
    <xf numFmtId="0" fontId="18" fillId="5" borderId="16" xfId="0" applyFont="1" applyFill="1" applyBorder="1" applyAlignment="1" applyProtection="1">
      <alignment horizontal="center" vertical="center" wrapText="1"/>
      <protection locked="0"/>
    </xf>
    <xf numFmtId="49" fontId="18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17" xfId="0" applyFont="1" applyFill="1" applyBorder="1" applyAlignment="1" applyProtection="1">
      <alignment horizontal="center" vertical="center" wrapText="1"/>
      <protection locked="0"/>
    </xf>
    <xf numFmtId="49" fontId="18" fillId="5" borderId="18" xfId="0" applyNumberFormat="1" applyFont="1" applyFill="1" applyBorder="1" applyAlignment="1" applyProtection="1">
      <alignment horizontal="center" vertical="center" wrapText="1"/>
      <protection locked="0"/>
    </xf>
    <xf numFmtId="49" fontId="18" fillId="5" borderId="16" xfId="0" applyNumberFormat="1" applyFont="1" applyFill="1" applyBorder="1" applyAlignment="1" applyProtection="1">
      <alignment horizontal="center" vertical="center" wrapText="1"/>
      <protection locked="0"/>
    </xf>
    <xf numFmtId="49" fontId="18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0" xfId="0" applyNumberFormat="1" applyFont="1" applyFill="1" applyAlignment="1" applyProtection="1">
      <alignment horizontal="center" vertical="center"/>
      <protection locked="0"/>
    </xf>
    <xf numFmtId="0" fontId="18" fillId="2" borderId="0" xfId="0" applyFont="1" applyFill="1" applyProtection="1">
      <protection locked="0"/>
    </xf>
    <xf numFmtId="0" fontId="18" fillId="5" borderId="22" xfId="0" applyFont="1" applyFill="1" applyBorder="1" applyAlignment="1" applyProtection="1">
      <alignment horizontal="center" vertical="center" wrapText="1"/>
      <protection locked="0"/>
    </xf>
    <xf numFmtId="49" fontId="18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23" xfId="0" applyFont="1" applyFill="1" applyBorder="1" applyAlignment="1" applyProtection="1">
      <alignment horizontal="center" vertical="center" wrapText="1"/>
      <protection locked="0"/>
    </xf>
    <xf numFmtId="49" fontId="18" fillId="5" borderId="24" xfId="0" applyNumberFormat="1" applyFont="1" applyFill="1" applyBorder="1" applyAlignment="1" applyProtection="1">
      <alignment horizontal="center" vertical="center" wrapText="1"/>
      <protection locked="0"/>
    </xf>
    <xf numFmtId="49" fontId="18" fillId="5" borderId="25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0" xfId="0" applyNumberFormat="1" applyFont="1" applyFill="1" applyAlignment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horizontal="center" vertical="center" wrapText="1"/>
    </xf>
    <xf numFmtId="0" fontId="8" fillId="6" borderId="2" xfId="0" applyFont="1" applyFill="1" applyBorder="1" applyAlignment="1" applyProtection="1">
      <alignment horizontal="center" vertical="center" wrapText="1"/>
    </xf>
    <xf numFmtId="0" fontId="19" fillId="6" borderId="2" xfId="0" applyFont="1" applyFill="1" applyBorder="1" applyAlignment="1" applyProtection="1">
      <alignment vertical="center" wrapText="1"/>
    </xf>
    <xf numFmtId="0" fontId="20" fillId="6" borderId="2" xfId="0" applyFont="1" applyFill="1" applyBorder="1" applyAlignment="1" applyProtection="1">
      <alignment vertical="center"/>
    </xf>
    <xf numFmtId="169" fontId="21" fillId="6" borderId="26" xfId="0" applyNumberFormat="1" applyFont="1" applyFill="1" applyBorder="1" applyProtection="1"/>
    <xf numFmtId="169" fontId="21" fillId="6" borderId="27" xfId="0" applyNumberFormat="1" applyFont="1" applyFill="1" applyBorder="1" applyProtection="1"/>
    <xf numFmtId="169" fontId="21" fillId="6" borderId="28" xfId="0" applyNumberFormat="1" applyFont="1" applyFill="1" applyBorder="1" applyProtection="1"/>
    <xf numFmtId="169" fontId="21" fillId="6" borderId="29" xfId="0" applyNumberFormat="1" applyFont="1" applyFill="1" applyBorder="1" applyProtection="1"/>
    <xf numFmtId="0" fontId="10" fillId="2" borderId="0" xfId="0" applyFont="1" applyFill="1" applyProtection="1">
      <protection locked="0"/>
    </xf>
    <xf numFmtId="0" fontId="8" fillId="7" borderId="0" xfId="0" applyFont="1" applyFill="1" applyProtection="1">
      <protection locked="0"/>
    </xf>
    <xf numFmtId="169" fontId="8" fillId="7" borderId="6" xfId="0" applyNumberFormat="1" applyFont="1" applyFill="1" applyBorder="1" applyProtection="1">
      <protection locked="0"/>
    </xf>
    <xf numFmtId="169" fontId="8" fillId="7" borderId="7" xfId="0" applyNumberFormat="1" applyFont="1" applyFill="1" applyBorder="1" applyProtection="1">
      <protection locked="0"/>
    </xf>
    <xf numFmtId="169" fontId="8" fillId="7" borderId="9" xfId="0" applyNumberFormat="1" applyFont="1" applyFill="1" applyBorder="1" applyProtection="1">
      <protection locked="0"/>
    </xf>
    <xf numFmtId="169" fontId="8" fillId="7" borderId="31" xfId="0" applyNumberFormat="1" applyFont="1" applyFill="1" applyBorder="1" applyProtection="1">
      <protection locked="0"/>
    </xf>
    <xf numFmtId="169" fontId="8" fillId="7" borderId="13" xfId="0" applyNumberFormat="1" applyFont="1" applyFill="1" applyBorder="1" applyProtection="1">
      <protection locked="0"/>
    </xf>
    <xf numFmtId="169" fontId="8" fillId="7" borderId="15" xfId="0" applyNumberFormat="1" applyFont="1" applyFill="1" applyBorder="1" applyProtection="1">
      <protection locked="0"/>
    </xf>
    <xf numFmtId="169" fontId="8" fillId="7" borderId="8" xfId="0" applyNumberFormat="1" applyFont="1" applyFill="1" applyBorder="1" applyProtection="1">
      <protection locked="0"/>
    </xf>
    <xf numFmtId="169" fontId="8" fillId="7" borderId="17" xfId="0" applyNumberFormat="1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169" fontId="8" fillId="7" borderId="16" xfId="0" applyNumberFormat="1" applyFont="1" applyFill="1" applyBorder="1" applyProtection="1">
      <protection locked="0"/>
    </xf>
    <xf numFmtId="169" fontId="8" fillId="7" borderId="19" xfId="0" applyNumberFormat="1" applyFont="1" applyFill="1" applyBorder="1" applyProtection="1">
      <protection locked="0"/>
    </xf>
    <xf numFmtId="169" fontId="8" fillId="7" borderId="33" xfId="0" applyNumberFormat="1" applyFont="1" applyFill="1" applyBorder="1" applyProtection="1">
      <protection locked="0"/>
    </xf>
    <xf numFmtId="169" fontId="8" fillId="7" borderId="18" xfId="0" applyNumberFormat="1" applyFont="1" applyFill="1" applyBorder="1" applyProtection="1">
      <protection locked="0"/>
    </xf>
    <xf numFmtId="169" fontId="8" fillId="7" borderId="34" xfId="0" applyNumberFormat="1" applyFont="1" applyFill="1" applyBorder="1" applyProtection="1">
      <protection locked="0"/>
    </xf>
    <xf numFmtId="169" fontId="8" fillId="7" borderId="35" xfId="0" applyNumberFormat="1" applyFont="1" applyFill="1" applyBorder="1" applyProtection="1">
      <protection locked="0"/>
    </xf>
    <xf numFmtId="169" fontId="8" fillId="7" borderId="36" xfId="0" applyNumberFormat="1" applyFont="1" applyFill="1" applyBorder="1" applyProtection="1">
      <protection locked="0"/>
    </xf>
    <xf numFmtId="169" fontId="8" fillId="7" borderId="37" xfId="0" applyNumberFormat="1" applyFont="1" applyFill="1" applyBorder="1" applyProtection="1">
      <protection locked="0"/>
    </xf>
    <xf numFmtId="169" fontId="8" fillId="7" borderId="38" xfId="0" applyNumberFormat="1" applyFont="1" applyFill="1" applyBorder="1" applyProtection="1">
      <protection locked="0"/>
    </xf>
    <xf numFmtId="169" fontId="8" fillId="7" borderId="22" xfId="0" applyNumberFormat="1" applyFont="1" applyFill="1" applyBorder="1" applyProtection="1">
      <protection locked="0"/>
    </xf>
    <xf numFmtId="169" fontId="8" fillId="7" borderId="23" xfId="0" applyNumberFormat="1" applyFont="1" applyFill="1" applyBorder="1" applyProtection="1">
      <protection locked="0"/>
    </xf>
    <xf numFmtId="169" fontId="8" fillId="7" borderId="25" xfId="0" applyNumberFormat="1" applyFont="1" applyFill="1" applyBorder="1" applyProtection="1">
      <protection locked="0"/>
    </xf>
    <xf numFmtId="169" fontId="8" fillId="7" borderId="42" xfId="0" applyNumberFormat="1" applyFont="1" applyFill="1" applyBorder="1" applyProtection="1">
      <protection locked="0"/>
    </xf>
    <xf numFmtId="169" fontId="8" fillId="7" borderId="24" xfId="0" applyNumberFormat="1" applyFont="1" applyFill="1" applyBorder="1" applyProtection="1">
      <protection locked="0"/>
    </xf>
    <xf numFmtId="0" fontId="6" fillId="2" borderId="43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44" xfId="0" applyFont="1" applyFill="1" applyBorder="1" applyAlignment="1" applyProtection="1">
      <alignment vertical="center"/>
      <protection locked="0"/>
    </xf>
    <xf numFmtId="169" fontId="8" fillId="7" borderId="14" xfId="0" applyNumberFormat="1" applyFont="1" applyFill="1" applyBorder="1" applyProtection="1">
      <protection locked="0"/>
    </xf>
    <xf numFmtId="169" fontId="8" fillId="7" borderId="12" xfId="0" applyNumberFormat="1" applyFont="1" applyFill="1" applyBorder="1" applyProtection="1">
      <protection locked="0"/>
    </xf>
    <xf numFmtId="0" fontId="8" fillId="2" borderId="43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Protection="1">
      <protection locked="0"/>
    </xf>
    <xf numFmtId="0" fontId="20" fillId="6" borderId="1" xfId="0" applyFont="1" applyFill="1" applyBorder="1" applyAlignment="1" applyProtection="1">
      <alignment horizontal="center" vertical="center" wrapText="1"/>
    </xf>
    <xf numFmtId="0" fontId="20" fillId="6" borderId="2" xfId="0" applyFont="1" applyFill="1" applyBorder="1" applyAlignment="1" applyProtection="1">
      <alignment horizontal="center" vertical="center" wrapText="1"/>
    </xf>
    <xf numFmtId="0" fontId="22" fillId="6" borderId="2" xfId="0" applyFont="1" applyFill="1" applyBorder="1" applyAlignment="1" applyProtection="1">
      <alignment vertical="center" wrapText="1"/>
    </xf>
    <xf numFmtId="0" fontId="23" fillId="2" borderId="0" xfId="0" applyFont="1" applyFill="1" applyProtection="1">
      <protection locked="0"/>
    </xf>
    <xf numFmtId="0" fontId="24" fillId="2" borderId="0" xfId="0" applyFont="1" applyFill="1" applyProtection="1">
      <protection locked="0"/>
    </xf>
    <xf numFmtId="169" fontId="8" fillId="8" borderId="17" xfId="0" applyNumberFormat="1" applyFont="1" applyFill="1" applyBorder="1" applyProtection="1">
      <protection locked="0"/>
    </xf>
    <xf numFmtId="169" fontId="8" fillId="9" borderId="17" xfId="0" applyNumberFormat="1" applyFont="1" applyFill="1" applyBorder="1" applyProtection="1">
      <protection locked="0"/>
    </xf>
    <xf numFmtId="169" fontId="8" fillId="10" borderId="17" xfId="0" applyNumberFormat="1" applyFont="1" applyFill="1" applyBorder="1" applyProtection="1">
      <protection locked="0"/>
    </xf>
    <xf numFmtId="169" fontId="8" fillId="8" borderId="16" xfId="0" applyNumberFormat="1" applyFont="1" applyFill="1" applyBorder="1" applyProtection="1"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169" fontId="2" fillId="7" borderId="12" xfId="0" applyNumberFormat="1" applyFont="1" applyFill="1" applyBorder="1" applyProtection="1">
      <protection locked="0"/>
    </xf>
    <xf numFmtId="169" fontId="2" fillId="7" borderId="13" xfId="0" applyNumberFormat="1" applyFont="1" applyFill="1" applyBorder="1" applyProtection="1">
      <protection locked="0"/>
    </xf>
    <xf numFmtId="169" fontId="2" fillId="7" borderId="15" xfId="0" applyNumberFormat="1" applyFont="1" applyFill="1" applyBorder="1" applyProtection="1">
      <protection locked="0"/>
    </xf>
    <xf numFmtId="169" fontId="2" fillId="7" borderId="14" xfId="0" applyNumberFormat="1" applyFont="1" applyFill="1" applyBorder="1" applyProtection="1">
      <protection locked="0"/>
    </xf>
    <xf numFmtId="169" fontId="2" fillId="7" borderId="16" xfId="0" applyNumberFormat="1" applyFont="1" applyFill="1" applyBorder="1" applyProtection="1">
      <protection locked="0"/>
    </xf>
    <xf numFmtId="169" fontId="2" fillId="7" borderId="17" xfId="0" applyNumberFormat="1" applyFont="1" applyFill="1" applyBorder="1" applyProtection="1">
      <protection locked="0"/>
    </xf>
    <xf numFmtId="169" fontId="2" fillId="7" borderId="19" xfId="0" applyNumberFormat="1" applyFont="1" applyFill="1" applyBorder="1" applyProtection="1">
      <protection locked="0"/>
    </xf>
    <xf numFmtId="169" fontId="2" fillId="7" borderId="18" xfId="0" applyNumberFormat="1" applyFont="1" applyFill="1" applyBorder="1" applyProtection="1">
      <protection locked="0"/>
    </xf>
    <xf numFmtId="169" fontId="2" fillId="7" borderId="34" xfId="0" applyNumberFormat="1" applyFont="1" applyFill="1" applyBorder="1" applyProtection="1">
      <protection locked="0"/>
    </xf>
    <xf numFmtId="169" fontId="2" fillId="7" borderId="35" xfId="0" applyNumberFormat="1" applyFont="1" applyFill="1" applyBorder="1" applyProtection="1">
      <protection locked="0"/>
    </xf>
    <xf numFmtId="169" fontId="2" fillId="7" borderId="36" xfId="0" applyNumberFormat="1" applyFont="1" applyFill="1" applyBorder="1" applyProtection="1">
      <protection locked="0"/>
    </xf>
    <xf numFmtId="169" fontId="2" fillId="7" borderId="38" xfId="0" applyNumberFormat="1" applyFont="1" applyFill="1" applyBorder="1" applyProtection="1">
      <protection locked="0"/>
    </xf>
    <xf numFmtId="169" fontId="2" fillId="7" borderId="22" xfId="0" applyNumberFormat="1" applyFont="1" applyFill="1" applyBorder="1" applyProtection="1">
      <protection locked="0"/>
    </xf>
    <xf numFmtId="169" fontId="2" fillId="7" borderId="23" xfId="0" applyNumberFormat="1" applyFont="1" applyFill="1" applyBorder="1" applyProtection="1">
      <protection locked="0"/>
    </xf>
    <xf numFmtId="169" fontId="2" fillId="7" borderId="25" xfId="0" applyNumberFormat="1" applyFont="1" applyFill="1" applyBorder="1" applyProtection="1">
      <protection locked="0"/>
    </xf>
    <xf numFmtId="169" fontId="2" fillId="7" borderId="24" xfId="0" applyNumberFormat="1" applyFont="1" applyFill="1" applyBorder="1" applyProtection="1"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Protection="1">
      <protection locked="0"/>
    </xf>
    <xf numFmtId="169" fontId="10" fillId="10" borderId="26" xfId="0" applyNumberFormat="1" applyFont="1" applyFill="1" applyBorder="1" applyProtection="1"/>
    <xf numFmtId="169" fontId="10" fillId="10" borderId="27" xfId="0" applyNumberFormat="1" applyFont="1" applyFill="1" applyBorder="1" applyProtection="1"/>
    <xf numFmtId="169" fontId="10" fillId="10" borderId="28" xfId="0" applyNumberFormat="1" applyFont="1" applyFill="1" applyBorder="1" applyProtection="1"/>
    <xf numFmtId="169" fontId="10" fillId="10" borderId="29" xfId="0" applyNumberFormat="1" applyFont="1" applyFill="1" applyBorder="1" applyProtection="1"/>
    <xf numFmtId="169" fontId="5" fillId="2" borderId="0" xfId="0" applyNumberFormat="1" applyFont="1" applyFill="1" applyProtection="1">
      <protection locked="0"/>
    </xf>
    <xf numFmtId="169" fontId="4" fillId="2" borderId="0" xfId="0" applyNumberFormat="1" applyFont="1" applyFill="1" applyBorder="1" applyProtection="1">
      <protection locked="0"/>
    </xf>
    <xf numFmtId="169" fontId="4" fillId="2" borderId="43" xfId="0" applyNumberFormat="1" applyFont="1" applyFill="1" applyBorder="1" applyProtection="1">
      <protection locked="0"/>
    </xf>
    <xf numFmtId="169" fontId="4" fillId="2" borderId="44" xfId="0" applyNumberFormat="1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169" fontId="4" fillId="2" borderId="0" xfId="0" applyNumberFormat="1" applyFont="1" applyFill="1" applyProtection="1">
      <protection locked="0"/>
    </xf>
    <xf numFmtId="169" fontId="26" fillId="2" borderId="6" xfId="0" applyNumberFormat="1" applyFont="1" applyFill="1" applyBorder="1" applyProtection="1"/>
    <xf numFmtId="169" fontId="26" fillId="2" borderId="7" xfId="0" applyNumberFormat="1" applyFont="1" applyFill="1" applyBorder="1" applyProtection="1"/>
    <xf numFmtId="169" fontId="26" fillId="2" borderId="9" xfId="0" applyNumberFormat="1" applyFont="1" applyFill="1" applyBorder="1" applyProtection="1"/>
    <xf numFmtId="169" fontId="26" fillId="2" borderId="8" xfId="0" applyNumberFormat="1" applyFont="1" applyFill="1" applyBorder="1" applyProtection="1"/>
    <xf numFmtId="0" fontId="26" fillId="2" borderId="0" xfId="0" applyFont="1" applyFill="1" applyProtection="1">
      <protection locked="0"/>
    </xf>
    <xf numFmtId="0" fontId="25" fillId="2" borderId="0" xfId="0" applyFont="1" applyFill="1" applyProtection="1">
      <protection locked="0"/>
    </xf>
    <xf numFmtId="169" fontId="26" fillId="2" borderId="16" xfId="0" applyNumberFormat="1" applyFont="1" applyFill="1" applyBorder="1" applyAlignment="1" applyProtection="1">
      <alignment horizontal="center" wrapText="1"/>
    </xf>
    <xf numFmtId="169" fontId="26" fillId="2" borderId="17" xfId="0" applyNumberFormat="1" applyFont="1" applyFill="1" applyBorder="1" applyAlignment="1" applyProtection="1">
      <alignment horizontal="center"/>
    </xf>
    <xf numFmtId="169" fontId="26" fillId="2" borderId="19" xfId="0" applyNumberFormat="1" applyFont="1" applyFill="1" applyBorder="1" applyAlignment="1" applyProtection="1">
      <alignment horizontal="center"/>
    </xf>
    <xf numFmtId="169" fontId="26" fillId="2" borderId="16" xfId="0" applyNumberFormat="1" applyFont="1" applyFill="1" applyBorder="1" applyAlignment="1" applyProtection="1">
      <alignment horizontal="center"/>
    </xf>
    <xf numFmtId="169" fontId="26" fillId="2" borderId="18" xfId="0" applyNumberFormat="1" applyFont="1" applyFill="1" applyBorder="1" applyAlignment="1" applyProtection="1">
      <alignment horizontal="center"/>
    </xf>
    <xf numFmtId="0" fontId="26" fillId="2" borderId="0" xfId="0" applyFont="1" applyFill="1" applyAlignment="1" applyProtection="1">
      <alignment horizontal="center"/>
      <protection locked="0"/>
    </xf>
    <xf numFmtId="0" fontId="25" fillId="2" borderId="0" xfId="0" applyFont="1" applyFill="1" applyAlignment="1" applyProtection="1">
      <alignment horizontal="center"/>
      <protection locked="0"/>
    </xf>
    <xf numFmtId="169" fontId="10" fillId="4" borderId="22" xfId="0" applyNumberFormat="1" applyFont="1" applyFill="1" applyBorder="1" applyProtection="1">
      <protection locked="0"/>
    </xf>
    <xf numFmtId="169" fontId="10" fillId="4" borderId="23" xfId="0" applyNumberFormat="1" applyFont="1" applyFill="1" applyBorder="1" applyProtection="1">
      <protection locked="0"/>
    </xf>
    <xf numFmtId="169" fontId="10" fillId="4" borderId="25" xfId="0" applyNumberFormat="1" applyFont="1" applyFill="1" applyBorder="1" applyProtection="1">
      <protection locked="0"/>
    </xf>
    <xf numFmtId="169" fontId="10" fillId="4" borderId="24" xfId="0" applyNumberFormat="1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169" fontId="16" fillId="2" borderId="0" xfId="0" applyNumberFormat="1" applyFont="1" applyFill="1" applyBorder="1" applyAlignment="1" applyProtection="1">
      <alignment horizontal="right" vertical="center"/>
      <protection locked="0"/>
    </xf>
    <xf numFmtId="169" fontId="17" fillId="2" borderId="0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 applyProtection="1">
      <alignment horizontal="center" vertical="center"/>
      <protection locked="0"/>
    </xf>
    <xf numFmtId="3" fontId="17" fillId="2" borderId="43" xfId="0" applyNumberFormat="1" applyFont="1" applyFill="1" applyBorder="1" applyAlignment="1" applyProtection="1">
      <alignment horizontal="center" vertical="center"/>
      <protection locked="0"/>
    </xf>
    <xf numFmtId="3" fontId="17" fillId="2" borderId="44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169" fontId="17" fillId="2" borderId="0" xfId="0" applyNumberFormat="1" applyFont="1" applyFill="1" applyBorder="1" applyAlignment="1" applyProtection="1">
      <alignment horizontal="center" vertical="center" wrapText="1"/>
      <protection locked="0"/>
    </xf>
    <xf numFmtId="169" fontId="17" fillId="2" borderId="43" xfId="0" applyNumberFormat="1" applyFont="1" applyFill="1" applyBorder="1" applyAlignment="1" applyProtection="1">
      <alignment horizontal="center" vertical="center" wrapText="1"/>
      <protection locked="0"/>
    </xf>
    <xf numFmtId="169" fontId="17" fillId="2" borderId="44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Protection="1">
      <protection locked="0"/>
    </xf>
    <xf numFmtId="169" fontId="17" fillId="2" borderId="43" xfId="0" applyNumberFormat="1" applyFont="1" applyFill="1" applyBorder="1" applyAlignment="1" applyProtection="1">
      <alignment horizontal="center" vertical="center"/>
      <protection locked="0"/>
    </xf>
    <xf numFmtId="169" fontId="17" fillId="2" borderId="44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right" vertical="center"/>
      <protection locked="0"/>
    </xf>
    <xf numFmtId="169" fontId="27" fillId="12" borderId="49" xfId="0" applyNumberFormat="1" applyFont="1" applyFill="1" applyBorder="1" applyProtection="1">
      <protection locked="0"/>
    </xf>
    <xf numFmtId="169" fontId="27" fillId="12" borderId="7" xfId="0" applyNumberFormat="1" applyFont="1" applyFill="1" applyBorder="1" applyProtection="1">
      <protection locked="0"/>
    </xf>
    <xf numFmtId="169" fontId="27" fillId="12" borderId="9" xfId="0" applyNumberFormat="1" applyFont="1" applyFill="1" applyBorder="1" applyProtection="1">
      <protection locked="0"/>
    </xf>
    <xf numFmtId="169" fontId="27" fillId="12" borderId="6" xfId="0" applyNumberFormat="1" applyFont="1" applyFill="1" applyBorder="1" applyProtection="1">
      <protection locked="0"/>
    </xf>
    <xf numFmtId="169" fontId="27" fillId="12" borderId="8" xfId="0" applyNumberFormat="1" applyFont="1" applyFill="1" applyBorder="1" applyProtection="1">
      <protection locked="0"/>
    </xf>
    <xf numFmtId="0" fontId="4" fillId="12" borderId="0" xfId="0" applyFont="1" applyFill="1" applyProtection="1">
      <protection locked="0"/>
    </xf>
    <xf numFmtId="169" fontId="3" fillId="9" borderId="33" xfId="0" applyNumberFormat="1" applyFont="1" applyFill="1" applyBorder="1" applyProtection="1">
      <protection locked="0"/>
    </xf>
    <xf numFmtId="169" fontId="3" fillId="9" borderId="17" xfId="0" applyNumberFormat="1" applyFont="1" applyFill="1" applyBorder="1" applyProtection="1">
      <protection locked="0"/>
    </xf>
    <xf numFmtId="169" fontId="3" fillId="9" borderId="19" xfId="0" applyNumberFormat="1" applyFont="1" applyFill="1" applyBorder="1" applyProtection="1">
      <protection locked="0"/>
    </xf>
    <xf numFmtId="169" fontId="3" fillId="9" borderId="16" xfId="0" applyNumberFormat="1" applyFont="1" applyFill="1" applyBorder="1" applyProtection="1">
      <protection locked="0"/>
    </xf>
    <xf numFmtId="169" fontId="3" fillId="9" borderId="18" xfId="0" applyNumberFormat="1" applyFont="1" applyFill="1" applyBorder="1" applyProtection="1">
      <protection locked="0"/>
    </xf>
    <xf numFmtId="0" fontId="4" fillId="9" borderId="0" xfId="0" applyFont="1" applyFill="1" applyProtection="1">
      <protection locked="0"/>
    </xf>
    <xf numFmtId="169" fontId="27" fillId="13" borderId="33" xfId="0" applyNumberFormat="1" applyFont="1" applyFill="1" applyBorder="1" applyProtection="1">
      <protection locked="0"/>
    </xf>
    <xf numFmtId="169" fontId="27" fillId="13" borderId="17" xfId="0" applyNumberFormat="1" applyFont="1" applyFill="1" applyBorder="1" applyProtection="1">
      <protection locked="0"/>
    </xf>
    <xf numFmtId="169" fontId="27" fillId="13" borderId="19" xfId="0" applyNumberFormat="1" applyFont="1" applyFill="1" applyBorder="1" applyProtection="1">
      <protection locked="0"/>
    </xf>
    <xf numFmtId="169" fontId="27" fillId="13" borderId="16" xfId="0" applyNumberFormat="1" applyFont="1" applyFill="1" applyBorder="1" applyProtection="1">
      <protection locked="0"/>
    </xf>
    <xf numFmtId="169" fontId="27" fillId="13" borderId="18" xfId="0" applyNumberFormat="1" applyFont="1" applyFill="1" applyBorder="1" applyProtection="1">
      <protection locked="0"/>
    </xf>
    <xf numFmtId="0" fontId="4" fillId="13" borderId="0" xfId="0" applyFont="1" applyFill="1" applyProtection="1">
      <protection locked="0"/>
    </xf>
    <xf numFmtId="169" fontId="4" fillId="15" borderId="34" xfId="0" applyNumberFormat="1" applyFont="1" applyFill="1" applyBorder="1" applyProtection="1">
      <protection locked="0"/>
    </xf>
    <xf numFmtId="169" fontId="3" fillId="14" borderId="35" xfId="0" applyNumberFormat="1" applyFont="1" applyFill="1" applyBorder="1" applyProtection="1">
      <protection locked="0"/>
    </xf>
    <xf numFmtId="169" fontId="3" fillId="14" borderId="36" xfId="0" applyNumberFormat="1" applyFont="1" applyFill="1" applyBorder="1" applyProtection="1">
      <protection locked="0"/>
    </xf>
    <xf numFmtId="169" fontId="3" fillId="14" borderId="34" xfId="0" applyNumberFormat="1" applyFont="1" applyFill="1" applyBorder="1" applyProtection="1">
      <protection locked="0"/>
    </xf>
    <xf numFmtId="169" fontId="3" fillId="14" borderId="37" xfId="0" applyNumberFormat="1" applyFont="1" applyFill="1" applyBorder="1" applyProtection="1">
      <protection locked="0"/>
    </xf>
    <xf numFmtId="169" fontId="3" fillId="14" borderId="38" xfId="0" applyNumberFormat="1" applyFont="1" applyFill="1" applyBorder="1" applyProtection="1">
      <protection locked="0"/>
    </xf>
    <xf numFmtId="0" fontId="28" fillId="2" borderId="0" xfId="0" applyFont="1" applyFill="1" applyProtection="1">
      <protection locked="0"/>
    </xf>
    <xf numFmtId="169" fontId="3" fillId="11" borderId="42" xfId="0" applyNumberFormat="1" applyFont="1" applyFill="1" applyBorder="1" applyProtection="1">
      <protection locked="0"/>
    </xf>
    <xf numFmtId="169" fontId="3" fillId="11" borderId="23" xfId="0" applyNumberFormat="1" applyFont="1" applyFill="1" applyBorder="1" applyProtection="1">
      <protection locked="0"/>
    </xf>
    <xf numFmtId="169" fontId="3" fillId="11" borderId="25" xfId="0" applyNumberFormat="1" applyFont="1" applyFill="1" applyBorder="1" applyProtection="1">
      <protection locked="0"/>
    </xf>
    <xf numFmtId="169" fontId="3" fillId="11" borderId="22" xfId="0" applyNumberFormat="1" applyFont="1" applyFill="1" applyBorder="1" applyProtection="1">
      <protection locked="0"/>
    </xf>
    <xf numFmtId="169" fontId="3" fillId="11" borderId="24" xfId="0" applyNumberFormat="1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27" fillId="11" borderId="51" xfId="0" applyFont="1" applyFill="1" applyBorder="1" applyAlignment="1" applyProtection="1">
      <alignment vertical="center"/>
    </xf>
    <xf numFmtId="0" fontId="27" fillId="11" borderId="52" xfId="0" applyFont="1" applyFill="1" applyBorder="1" applyAlignment="1" applyProtection="1">
      <alignment vertical="center"/>
    </xf>
    <xf numFmtId="0" fontId="27" fillId="11" borderId="53" xfId="0" applyFont="1" applyFill="1" applyBorder="1" applyAlignment="1" applyProtection="1">
      <alignment vertical="center"/>
    </xf>
    <xf numFmtId="169" fontId="27" fillId="11" borderId="57" xfId="0" applyNumberFormat="1" applyFont="1" applyFill="1" applyBorder="1" applyProtection="1">
      <protection locked="0"/>
    </xf>
    <xf numFmtId="169" fontId="27" fillId="11" borderId="55" xfId="0" applyNumberFormat="1" applyFont="1" applyFill="1" applyBorder="1" applyProtection="1">
      <protection locked="0"/>
    </xf>
    <xf numFmtId="169" fontId="27" fillId="11" borderId="58" xfId="0" applyNumberFormat="1" applyFont="1" applyFill="1" applyBorder="1" applyProtection="1">
      <protection locked="0"/>
    </xf>
    <xf numFmtId="169" fontId="27" fillId="11" borderId="54" xfId="0" applyNumberFormat="1" applyFont="1" applyFill="1" applyBorder="1" applyProtection="1">
      <protection locked="0"/>
    </xf>
    <xf numFmtId="169" fontId="27" fillId="11" borderId="56" xfId="0" applyNumberFormat="1" applyFont="1" applyFill="1" applyBorder="1" applyProtection="1">
      <protection locked="0"/>
    </xf>
    <xf numFmtId="169" fontId="3" fillId="2" borderId="0" xfId="0" applyNumberFormat="1" applyFont="1" applyFill="1" applyProtection="1"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169" fontId="2" fillId="2" borderId="0" xfId="0" applyNumberFormat="1" applyFont="1" applyFill="1" applyBorder="1" applyProtection="1">
      <protection locked="0"/>
    </xf>
    <xf numFmtId="169" fontId="2" fillId="2" borderId="43" xfId="0" applyNumberFormat="1" applyFont="1" applyFill="1" applyBorder="1" applyProtection="1">
      <protection locked="0"/>
    </xf>
    <xf numFmtId="169" fontId="2" fillId="2" borderId="44" xfId="0" applyNumberFormat="1" applyFont="1" applyFill="1" applyBorder="1" applyProtection="1">
      <protection locked="0"/>
    </xf>
    <xf numFmtId="169" fontId="17" fillId="2" borderId="0" xfId="0" applyNumberFormat="1" applyFont="1" applyFill="1" applyBorder="1" applyProtection="1">
      <protection locked="0"/>
    </xf>
    <xf numFmtId="169" fontId="17" fillId="2" borderId="43" xfId="0" applyNumberFormat="1" applyFont="1" applyFill="1" applyBorder="1" applyProtection="1">
      <protection locked="0"/>
    </xf>
    <xf numFmtId="169" fontId="17" fillId="2" borderId="44" xfId="0" applyNumberFormat="1" applyFont="1" applyFill="1" applyBorder="1" applyProtection="1">
      <protection locked="0"/>
    </xf>
    <xf numFmtId="169" fontId="4" fillId="16" borderId="6" xfId="0" applyNumberFormat="1" applyFont="1" applyFill="1" applyBorder="1" applyProtection="1">
      <protection locked="0"/>
    </xf>
    <xf numFmtId="169" fontId="4" fillId="16" borderId="7" xfId="0" applyNumberFormat="1" applyFont="1" applyFill="1" applyBorder="1" applyProtection="1">
      <protection locked="0"/>
    </xf>
    <xf numFmtId="169" fontId="4" fillId="16" borderId="8" xfId="0" applyNumberFormat="1" applyFont="1" applyFill="1" applyBorder="1" applyProtection="1">
      <protection locked="0"/>
    </xf>
    <xf numFmtId="169" fontId="4" fillId="16" borderId="9" xfId="0" applyNumberFormat="1" applyFont="1" applyFill="1" applyBorder="1" applyProtection="1">
      <protection locked="0"/>
    </xf>
    <xf numFmtId="169" fontId="4" fillId="16" borderId="12" xfId="0" applyNumberFormat="1" applyFont="1" applyFill="1" applyBorder="1" applyAlignment="1" applyProtection="1">
      <alignment horizontal="right"/>
      <protection locked="0"/>
    </xf>
    <xf numFmtId="169" fontId="4" fillId="16" borderId="13" xfId="0" applyNumberFormat="1" applyFont="1" applyFill="1" applyBorder="1" applyAlignment="1" applyProtection="1">
      <alignment horizontal="right"/>
      <protection locked="0"/>
    </xf>
    <xf numFmtId="169" fontId="4" fillId="16" borderId="14" xfId="0" applyNumberFormat="1" applyFont="1" applyFill="1" applyBorder="1" applyAlignment="1" applyProtection="1">
      <alignment horizontal="right"/>
      <protection locked="0"/>
    </xf>
    <xf numFmtId="169" fontId="4" fillId="16" borderId="15" xfId="0" applyNumberFormat="1" applyFont="1" applyFill="1" applyBorder="1" applyAlignment="1" applyProtection="1">
      <alignment horizontal="right"/>
      <protection locked="0"/>
    </xf>
    <xf numFmtId="169" fontId="4" fillId="16" borderId="16" xfId="0" applyNumberFormat="1" applyFont="1" applyFill="1" applyBorder="1" applyProtection="1">
      <protection locked="0"/>
    </xf>
    <xf numFmtId="169" fontId="4" fillId="16" borderId="17" xfId="0" applyNumberFormat="1" applyFont="1" applyFill="1" applyBorder="1" applyProtection="1">
      <protection locked="0"/>
    </xf>
    <xf numFmtId="169" fontId="4" fillId="16" borderId="18" xfId="0" applyNumberFormat="1" applyFont="1" applyFill="1" applyBorder="1" applyProtection="1">
      <protection locked="0"/>
    </xf>
    <xf numFmtId="169" fontId="4" fillId="16" borderId="19" xfId="0" applyNumberFormat="1" applyFont="1" applyFill="1" applyBorder="1" applyProtection="1">
      <protection locked="0"/>
    </xf>
    <xf numFmtId="169" fontId="4" fillId="15" borderId="35" xfId="0" applyNumberFormat="1" applyFont="1" applyFill="1" applyBorder="1" applyProtection="1">
      <protection locked="0"/>
    </xf>
    <xf numFmtId="169" fontId="4" fillId="15" borderId="38" xfId="0" applyNumberFormat="1" applyFont="1" applyFill="1" applyBorder="1" applyProtection="1">
      <protection locked="0"/>
    </xf>
    <xf numFmtId="169" fontId="4" fillId="15" borderId="36" xfId="0" applyNumberFormat="1" applyFont="1" applyFill="1" applyBorder="1" applyProtection="1">
      <protection locked="0"/>
    </xf>
    <xf numFmtId="169" fontId="4" fillId="16" borderId="22" xfId="0" applyNumberFormat="1" applyFont="1" applyFill="1" applyBorder="1" applyProtection="1">
      <protection locked="0"/>
    </xf>
    <xf numFmtId="169" fontId="4" fillId="16" borderId="23" xfId="0" applyNumberFormat="1" applyFont="1" applyFill="1" applyBorder="1" applyProtection="1">
      <protection locked="0"/>
    </xf>
    <xf numFmtId="169" fontId="4" fillId="16" borderId="24" xfId="0" applyNumberFormat="1" applyFont="1" applyFill="1" applyBorder="1" applyProtection="1">
      <protection locked="0"/>
    </xf>
    <xf numFmtId="169" fontId="4" fillId="16" borderId="25" xfId="0" applyNumberFormat="1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169" fontId="3" fillId="2" borderId="0" xfId="0" applyNumberFormat="1" applyFont="1" applyFill="1" applyBorder="1" applyProtection="1">
      <protection locked="0"/>
    </xf>
    <xf numFmtId="169" fontId="3" fillId="2" borderId="43" xfId="0" applyNumberFormat="1" applyFont="1" applyFill="1" applyBorder="1" applyProtection="1">
      <protection locked="0"/>
    </xf>
    <xf numFmtId="169" fontId="3" fillId="2" borderId="44" xfId="0" applyNumberFormat="1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29" fillId="2" borderId="0" xfId="0" applyFont="1" applyFill="1" applyBorder="1" applyAlignment="1" applyProtection="1">
      <alignment horizontal="center" vertical="center"/>
      <protection locked="0"/>
    </xf>
    <xf numFmtId="169" fontId="29" fillId="2" borderId="0" xfId="0" applyNumberFormat="1" applyFont="1" applyFill="1" applyBorder="1" applyProtection="1">
      <protection locked="0"/>
    </xf>
    <xf numFmtId="169" fontId="29" fillId="2" borderId="43" xfId="0" applyNumberFormat="1" applyFont="1" applyFill="1" applyBorder="1" applyProtection="1">
      <protection locked="0"/>
    </xf>
    <xf numFmtId="169" fontId="29" fillId="2" borderId="44" xfId="0" applyNumberFormat="1" applyFont="1" applyFill="1" applyBorder="1" applyProtection="1">
      <protection locked="0"/>
    </xf>
    <xf numFmtId="0" fontId="29" fillId="2" borderId="0" xfId="0" applyFont="1" applyFill="1" applyBorder="1" applyProtection="1">
      <protection locked="0"/>
    </xf>
    <xf numFmtId="169" fontId="30" fillId="17" borderId="6" xfId="0" applyNumberFormat="1" applyFont="1" applyFill="1" applyBorder="1" applyAlignment="1" applyProtection="1">
      <alignment horizontal="right"/>
    </xf>
    <xf numFmtId="169" fontId="30" fillId="17" borderId="7" xfId="0" applyNumberFormat="1" applyFont="1" applyFill="1" applyBorder="1" applyAlignment="1" applyProtection="1">
      <alignment horizontal="right"/>
    </xf>
    <xf numFmtId="169" fontId="30" fillId="17" borderId="8" xfId="0" applyNumberFormat="1" applyFont="1" applyFill="1" applyBorder="1" applyAlignment="1" applyProtection="1">
      <alignment horizontal="right"/>
    </xf>
    <xf numFmtId="169" fontId="30" fillId="17" borderId="9" xfId="0" applyNumberFormat="1" applyFont="1" applyFill="1" applyBorder="1" applyAlignment="1" applyProtection="1">
      <alignment horizontal="right"/>
    </xf>
    <xf numFmtId="0" fontId="30" fillId="2" borderId="0" xfId="0" applyFont="1" applyFill="1" applyBorder="1" applyProtection="1">
      <protection locked="0"/>
    </xf>
    <xf numFmtId="169" fontId="30" fillId="17" borderId="16" xfId="0" applyNumberFormat="1" applyFont="1" applyFill="1" applyBorder="1" applyProtection="1"/>
    <xf numFmtId="169" fontId="30" fillId="17" borderId="17" xfId="0" applyNumberFormat="1" applyFont="1" applyFill="1" applyBorder="1" applyProtection="1"/>
    <xf numFmtId="169" fontId="30" fillId="17" borderId="18" xfId="0" applyNumberFormat="1" applyFont="1" applyFill="1" applyBorder="1" applyProtection="1"/>
    <xf numFmtId="169" fontId="30" fillId="17" borderId="19" xfId="0" applyNumberFormat="1" applyFont="1" applyFill="1" applyBorder="1" applyProtection="1"/>
    <xf numFmtId="0" fontId="30" fillId="2" borderId="0" xfId="0" applyFont="1" applyFill="1" applyProtection="1">
      <protection locked="0"/>
    </xf>
    <xf numFmtId="169" fontId="30" fillId="17" borderId="22" xfId="0" applyNumberFormat="1" applyFont="1" applyFill="1" applyBorder="1" applyProtection="1"/>
    <xf numFmtId="169" fontId="30" fillId="17" borderId="23" xfId="0" applyNumberFormat="1" applyFont="1" applyFill="1" applyBorder="1" applyProtection="1"/>
    <xf numFmtId="169" fontId="30" fillId="17" borderId="24" xfId="0" applyNumberFormat="1" applyFont="1" applyFill="1" applyBorder="1" applyProtection="1"/>
    <xf numFmtId="169" fontId="30" fillId="17" borderId="25" xfId="0" applyNumberFormat="1" applyFont="1" applyFill="1" applyBorder="1" applyProtection="1"/>
    <xf numFmtId="0" fontId="30" fillId="2" borderId="0" xfId="0" applyFont="1" applyFill="1" applyBorder="1" applyAlignment="1" applyProtection="1">
      <alignment vertical="center"/>
    </xf>
    <xf numFmtId="0" fontId="30" fillId="2" borderId="0" xfId="0" applyFont="1" applyFill="1" applyBorder="1" applyAlignment="1" applyProtection="1">
      <alignment horizontal="left" vertical="center"/>
    </xf>
    <xf numFmtId="169" fontId="30" fillId="2" borderId="0" xfId="0" applyNumberFormat="1" applyFont="1" applyFill="1" applyBorder="1" applyProtection="1"/>
    <xf numFmtId="169" fontId="30" fillId="2" borderId="43" xfId="0" applyNumberFormat="1" applyFont="1" applyFill="1" applyBorder="1" applyProtection="1"/>
    <xf numFmtId="169" fontId="30" fillId="2" borderId="44" xfId="0" applyNumberFormat="1" applyFont="1" applyFill="1" applyBorder="1" applyProtection="1"/>
    <xf numFmtId="0" fontId="29" fillId="2" borderId="0" xfId="0" applyFont="1" applyFill="1" applyBorder="1" applyAlignment="1" applyProtection="1">
      <alignment vertical="center"/>
    </xf>
    <xf numFmtId="169" fontId="29" fillId="2" borderId="0" xfId="0" applyNumberFormat="1" applyFont="1" applyFill="1" applyBorder="1" applyProtection="1"/>
    <xf numFmtId="169" fontId="29" fillId="2" borderId="43" xfId="0" applyNumberFormat="1" applyFont="1" applyFill="1" applyBorder="1" applyProtection="1"/>
    <xf numFmtId="169" fontId="29" fillId="2" borderId="44" xfId="0" applyNumberFormat="1" applyFont="1" applyFill="1" applyBorder="1" applyProtection="1"/>
    <xf numFmtId="169" fontId="4" fillId="13" borderId="59" xfId="0" applyNumberFormat="1" applyFont="1" applyFill="1" applyBorder="1" applyProtection="1"/>
    <xf numFmtId="169" fontId="4" fillId="13" borderId="60" xfId="0" applyNumberFormat="1" applyFont="1" applyFill="1" applyBorder="1" applyProtection="1"/>
    <xf numFmtId="169" fontId="4" fillId="13" borderId="61" xfId="0" applyNumberFormat="1" applyFont="1" applyFill="1" applyBorder="1" applyProtection="1"/>
    <xf numFmtId="169" fontId="4" fillId="13" borderId="62" xfId="0" applyNumberFormat="1" applyFont="1" applyFill="1" applyBorder="1" applyProtection="1"/>
    <xf numFmtId="169" fontId="4" fillId="9" borderId="60" xfId="0" applyNumberFormat="1" applyFont="1" applyFill="1" applyBorder="1" applyProtection="1"/>
    <xf numFmtId="169" fontId="4" fillId="9" borderId="62" xfId="0" applyNumberFormat="1" applyFont="1" applyFill="1" applyBorder="1" applyProtection="1"/>
    <xf numFmtId="0" fontId="31" fillId="2" borderId="63" xfId="0" applyFont="1" applyFill="1" applyBorder="1" applyProtection="1"/>
    <xf numFmtId="0" fontId="31" fillId="2" borderId="46" xfId="0" applyFont="1" applyFill="1" applyBorder="1" applyProtection="1"/>
    <xf numFmtId="0" fontId="31" fillId="2" borderId="46" xfId="0" applyFont="1" applyFill="1" applyBorder="1" applyAlignment="1" applyProtection="1">
      <alignment horizontal="center"/>
    </xf>
    <xf numFmtId="169" fontId="31" fillId="2" borderId="64" xfId="0" applyNumberFormat="1" applyFont="1" applyFill="1" applyBorder="1" applyProtection="1"/>
    <xf numFmtId="0" fontId="29" fillId="2" borderId="0" xfId="0" applyFont="1" applyFill="1" applyProtection="1">
      <protection locked="0"/>
    </xf>
    <xf numFmtId="0" fontId="12" fillId="4" borderId="60" xfId="0" applyFont="1" applyFill="1" applyBorder="1" applyProtection="1"/>
    <xf numFmtId="169" fontId="12" fillId="4" borderId="60" xfId="0" applyNumberFormat="1" applyFont="1" applyFill="1" applyBorder="1" applyProtection="1"/>
    <xf numFmtId="169" fontId="12" fillId="4" borderId="62" xfId="0" applyNumberFormat="1" applyFont="1" applyFill="1" applyBorder="1" applyProtection="1"/>
    <xf numFmtId="0" fontId="1" fillId="2" borderId="0" xfId="0" applyFont="1" applyFill="1" applyProtection="1"/>
    <xf numFmtId="0" fontId="1" fillId="2" borderId="0" xfId="0" applyFont="1" applyFill="1" applyBorder="1" applyProtection="1"/>
    <xf numFmtId="0" fontId="1" fillId="0" borderId="0" xfId="0" applyFont="1" applyFill="1" applyBorder="1" applyProtection="1"/>
    <xf numFmtId="0" fontId="1" fillId="2" borderId="0" xfId="0" applyFont="1" applyFill="1" applyBorder="1" applyProtection="1">
      <protection locked="0"/>
    </xf>
    <xf numFmtId="0" fontId="33" fillId="2" borderId="0" xfId="0" applyFont="1" applyFill="1" applyBorder="1" applyProtection="1"/>
    <xf numFmtId="0" fontId="33" fillId="2" borderId="44" xfId="0" applyFont="1" applyFill="1" applyBorder="1" applyProtection="1"/>
    <xf numFmtId="9" fontId="34" fillId="10" borderId="72" xfId="0" applyNumberFormat="1" applyFont="1" applyFill="1" applyBorder="1" applyAlignment="1" applyProtection="1">
      <alignment wrapText="1"/>
    </xf>
    <xf numFmtId="0" fontId="35" fillId="2" borderId="0" xfId="0" applyFont="1" applyFill="1" applyBorder="1" applyAlignment="1" applyProtection="1">
      <alignment horizontal="left"/>
    </xf>
    <xf numFmtId="0" fontId="36" fillId="2" borderId="0" xfId="0" applyFont="1" applyFill="1" applyBorder="1" applyProtection="1"/>
    <xf numFmtId="0" fontId="36" fillId="2" borderId="44" xfId="0" applyFont="1" applyFill="1" applyBorder="1" applyProtection="1"/>
    <xf numFmtId="170" fontId="32" fillId="4" borderId="72" xfId="0" applyNumberFormat="1" applyFont="1" applyFill="1" applyBorder="1" applyAlignment="1" applyProtection="1">
      <alignment horizontal="right" vertical="center"/>
    </xf>
    <xf numFmtId="170" fontId="34" fillId="10" borderId="72" xfId="0" applyNumberFormat="1" applyFont="1" applyFill="1" applyBorder="1" applyAlignment="1" applyProtection="1">
      <alignment horizontal="right" vertical="center"/>
    </xf>
    <xf numFmtId="169" fontId="32" fillId="4" borderId="72" xfId="0" applyNumberFormat="1" applyFont="1" applyFill="1" applyBorder="1" applyAlignment="1" applyProtection="1">
      <alignment horizontal="center" vertical="center"/>
    </xf>
    <xf numFmtId="2" fontId="32" fillId="4" borderId="72" xfId="0" applyNumberFormat="1" applyFont="1" applyFill="1" applyBorder="1" applyAlignment="1" applyProtection="1">
      <alignment horizontal="center" vertical="center"/>
    </xf>
    <xf numFmtId="171" fontId="37" fillId="4" borderId="72" xfId="0" applyNumberFormat="1" applyFont="1" applyFill="1" applyBorder="1" applyAlignment="1" applyProtection="1">
      <alignment horizontal="center" vertical="center"/>
    </xf>
    <xf numFmtId="0" fontId="38" fillId="2" borderId="0" xfId="0" applyFont="1" applyFill="1" applyBorder="1" applyAlignment="1" applyProtection="1"/>
    <xf numFmtId="0" fontId="35" fillId="2" borderId="0" xfId="0" applyFont="1" applyFill="1" applyBorder="1" applyAlignment="1" applyProtection="1"/>
    <xf numFmtId="0" fontId="35" fillId="2" borderId="44" xfId="0" applyFont="1" applyFill="1" applyBorder="1" applyProtection="1"/>
    <xf numFmtId="0" fontId="36" fillId="2" borderId="71" xfId="0" applyFont="1" applyFill="1" applyBorder="1" applyAlignment="1" applyProtection="1">
      <alignment horizontal="center" vertical="center"/>
    </xf>
    <xf numFmtId="170" fontId="36" fillId="2" borderId="72" xfId="0" applyNumberFormat="1" applyFont="1" applyFill="1" applyBorder="1" applyAlignment="1" applyProtection="1">
      <alignment horizontal="right" vertical="center"/>
    </xf>
    <xf numFmtId="9" fontId="36" fillId="2" borderId="72" xfId="0" applyNumberFormat="1" applyFont="1" applyFill="1" applyBorder="1" applyAlignment="1" applyProtection="1">
      <alignment horizontal="right" vertical="center"/>
    </xf>
    <xf numFmtId="170" fontId="39" fillId="2" borderId="72" xfId="0" applyNumberFormat="1" applyFont="1" applyFill="1" applyBorder="1" applyAlignment="1" applyProtection="1">
      <alignment horizontal="right" vertical="center"/>
    </xf>
    <xf numFmtId="1" fontId="33" fillId="2" borderId="72" xfId="0" applyNumberFormat="1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</xf>
    <xf numFmtId="170" fontId="34" fillId="10" borderId="72" xfId="0" applyNumberFormat="1" applyFont="1" applyFill="1" applyBorder="1" applyAlignment="1" applyProtection="1"/>
    <xf numFmtId="0" fontId="36" fillId="2" borderId="0" xfId="0" applyFont="1" applyFill="1" applyBorder="1" applyAlignment="1" applyProtection="1">
      <alignment vertical="center"/>
    </xf>
    <xf numFmtId="170" fontId="33" fillId="2" borderId="0" xfId="0" applyNumberFormat="1" applyFont="1" applyFill="1" applyBorder="1" applyAlignment="1" applyProtection="1">
      <alignment horizontal="center"/>
    </xf>
    <xf numFmtId="1" fontId="34" fillId="10" borderId="72" xfId="0" applyNumberFormat="1" applyFont="1" applyFill="1" applyBorder="1" applyAlignment="1" applyProtection="1">
      <alignment vertical="center"/>
    </xf>
    <xf numFmtId="0" fontId="36" fillId="2" borderId="74" xfId="0" applyFont="1" applyFill="1" applyBorder="1" applyAlignment="1" applyProtection="1">
      <alignment horizontal="center" vertical="center"/>
    </xf>
    <xf numFmtId="170" fontId="36" fillId="2" borderId="75" xfId="0" applyNumberFormat="1" applyFont="1" applyFill="1" applyBorder="1" applyAlignment="1" applyProtection="1">
      <alignment horizontal="right" vertical="center"/>
    </xf>
    <xf numFmtId="0" fontId="36" fillId="2" borderId="0" xfId="0" applyFont="1" applyFill="1" applyBorder="1" applyAlignment="1" applyProtection="1">
      <alignment horizontal="left" wrapText="1"/>
    </xf>
    <xf numFmtId="0" fontId="36" fillId="2" borderId="44" xfId="0" applyFont="1" applyFill="1" applyBorder="1" applyAlignment="1" applyProtection="1">
      <alignment horizontal="left" wrapText="1"/>
    </xf>
    <xf numFmtId="0" fontId="33" fillId="13" borderId="3" xfId="0" applyFont="1" applyFill="1" applyBorder="1" applyAlignment="1" applyProtection="1">
      <alignment horizontal="center"/>
    </xf>
    <xf numFmtId="2" fontId="33" fillId="13" borderId="76" xfId="0" applyNumberFormat="1" applyFont="1" applyFill="1" applyBorder="1" applyProtection="1"/>
    <xf numFmtId="0" fontId="17" fillId="10" borderId="72" xfId="0" applyFont="1" applyFill="1" applyBorder="1" applyAlignment="1" applyProtection="1">
      <alignment horizontal="center"/>
      <protection locked="0"/>
    </xf>
    <xf numFmtId="0" fontId="36" fillId="2" borderId="51" xfId="0" applyFont="1" applyFill="1" applyBorder="1" applyAlignment="1" applyProtection="1">
      <alignment horizontal="center" vertical="center"/>
    </xf>
    <xf numFmtId="170" fontId="36" fillId="2" borderId="52" xfId="0" applyNumberFormat="1" applyFont="1" applyFill="1" applyBorder="1" applyAlignment="1" applyProtection="1">
      <alignment horizontal="right" vertical="center"/>
    </xf>
    <xf numFmtId="170" fontId="39" fillId="2" borderId="52" xfId="0" applyNumberFormat="1" applyFont="1" applyFill="1" applyBorder="1" applyAlignment="1" applyProtection="1">
      <alignment horizontal="right" vertical="center"/>
    </xf>
    <xf numFmtId="0" fontId="33" fillId="2" borderId="52" xfId="0" applyFont="1" applyFill="1" applyBorder="1" applyAlignment="1" applyProtection="1">
      <alignment horizontal="center"/>
    </xf>
    <xf numFmtId="0" fontId="33" fillId="2" borderId="52" xfId="0" applyFont="1" applyFill="1" applyBorder="1" applyProtection="1"/>
    <xf numFmtId="169" fontId="32" fillId="2" borderId="52" xfId="0" applyNumberFormat="1" applyFont="1" applyFill="1" applyBorder="1" applyAlignment="1" applyProtection="1">
      <alignment vertical="center"/>
    </xf>
    <xf numFmtId="0" fontId="36" fillId="2" borderId="52" xfId="0" applyFont="1" applyFill="1" applyBorder="1" applyAlignment="1" applyProtection="1">
      <alignment vertical="center"/>
    </xf>
    <xf numFmtId="0" fontId="33" fillId="2" borderId="53" xfId="0" applyFont="1" applyFill="1" applyBorder="1" applyProtection="1"/>
    <xf numFmtId="0" fontId="36" fillId="2" borderId="0" xfId="0" applyFont="1" applyFill="1" applyBorder="1" applyAlignment="1" applyProtection="1">
      <alignment horizontal="right" vertical="center"/>
    </xf>
    <xf numFmtId="170" fontId="10" fillId="2" borderId="0" xfId="0" applyNumberFormat="1" applyFont="1" applyFill="1" applyBorder="1" applyAlignment="1" applyProtection="1">
      <alignment horizontal="center" vertical="center"/>
    </xf>
    <xf numFmtId="10" fontId="10" fillId="2" borderId="0" xfId="0" applyNumberFormat="1" applyFont="1" applyFill="1" applyBorder="1" applyAlignment="1" applyProtection="1">
      <alignment horizontal="center" vertical="center"/>
    </xf>
    <xf numFmtId="169" fontId="10" fillId="2" borderId="0" xfId="0" applyNumberFormat="1" applyFont="1" applyFill="1" applyBorder="1" applyAlignment="1" applyProtection="1">
      <alignment vertical="center"/>
    </xf>
    <xf numFmtId="0" fontId="36" fillId="2" borderId="81" xfId="0" applyFont="1" applyFill="1" applyBorder="1" applyAlignment="1" applyProtection="1">
      <alignment vertical="center" wrapText="1"/>
    </xf>
    <xf numFmtId="0" fontId="39" fillId="2" borderId="72" xfId="0" applyFont="1" applyFill="1" applyBorder="1" applyAlignment="1" applyProtection="1">
      <alignment horizontal="center" vertical="center" wrapText="1"/>
    </xf>
    <xf numFmtId="0" fontId="1" fillId="2" borderId="72" xfId="0" applyFont="1" applyFill="1" applyBorder="1" applyAlignment="1" applyProtection="1">
      <alignment horizontal="center" vertical="center" wrapText="1"/>
    </xf>
    <xf numFmtId="169" fontId="8" fillId="4" borderId="71" xfId="0" applyNumberFormat="1" applyFont="1" applyFill="1" applyBorder="1" applyAlignment="1" applyProtection="1"/>
    <xf numFmtId="169" fontId="8" fillId="4" borderId="72" xfId="0" applyNumberFormat="1" applyFont="1" applyFill="1" applyBorder="1" applyAlignment="1" applyProtection="1"/>
    <xf numFmtId="170" fontId="8" fillId="4" borderId="72" xfId="0" applyNumberFormat="1" applyFont="1" applyFill="1" applyBorder="1" applyAlignment="1" applyProtection="1">
      <alignment horizontal="center" vertical="center"/>
    </xf>
    <xf numFmtId="170" fontId="2" fillId="4" borderId="72" xfId="0" applyNumberFormat="1" applyFont="1" applyFill="1" applyBorder="1" applyAlignment="1" applyProtection="1">
      <alignment horizontal="center" vertical="center"/>
    </xf>
    <xf numFmtId="170" fontId="8" fillId="4" borderId="72" xfId="0" applyNumberFormat="1" applyFont="1" applyFill="1" applyBorder="1" applyProtection="1"/>
    <xf numFmtId="170" fontId="4" fillId="12" borderId="82" xfId="0" applyNumberFormat="1" applyFont="1" applyFill="1" applyBorder="1" applyAlignment="1" applyProtection="1">
      <alignment horizontal="center" vertical="center"/>
    </xf>
    <xf numFmtId="0" fontId="40" fillId="2" borderId="0" xfId="0" applyFont="1" applyFill="1" applyBorder="1" applyProtection="1"/>
    <xf numFmtId="0" fontId="40" fillId="2" borderId="0" xfId="0" applyFont="1" applyFill="1" applyBorder="1" applyProtection="1">
      <protection locked="0"/>
    </xf>
    <xf numFmtId="0" fontId="40" fillId="2" borderId="0" xfId="0" applyFont="1" applyFill="1" applyBorder="1" applyAlignment="1" applyProtection="1"/>
    <xf numFmtId="169" fontId="8" fillId="4" borderId="83" xfId="0" applyNumberFormat="1" applyFont="1" applyFill="1" applyBorder="1" applyAlignment="1" applyProtection="1"/>
    <xf numFmtId="169" fontId="8" fillId="4" borderId="84" xfId="0" applyNumberFormat="1" applyFont="1" applyFill="1" applyBorder="1" applyAlignment="1" applyProtection="1"/>
    <xf numFmtId="170" fontId="2" fillId="4" borderId="84" xfId="0" applyNumberFormat="1" applyFont="1" applyFill="1" applyBorder="1" applyAlignment="1" applyProtection="1">
      <alignment horizontal="center" vertical="center"/>
    </xf>
    <xf numFmtId="170" fontId="8" fillId="4" borderId="84" xfId="0" applyNumberFormat="1" applyFont="1" applyFill="1" applyBorder="1" applyProtection="1"/>
    <xf numFmtId="170" fontId="4" fillId="12" borderId="85" xfId="0" applyNumberFormat="1" applyFont="1" applyFill="1" applyBorder="1" applyAlignment="1" applyProtection="1">
      <alignment horizontal="center" vertical="center"/>
    </xf>
    <xf numFmtId="0" fontId="41" fillId="2" borderId="0" xfId="0" applyFont="1" applyFill="1" applyBorder="1" applyAlignment="1" applyProtection="1">
      <alignment horizontal="right" vertical="center" wrapText="1"/>
    </xf>
    <xf numFmtId="170" fontId="40" fillId="2" borderId="0" xfId="0" applyNumberFormat="1" applyFont="1" applyFill="1" applyBorder="1" applyAlignment="1" applyProtection="1">
      <alignment horizontal="right"/>
    </xf>
    <xf numFmtId="169" fontId="40" fillId="2" borderId="0" xfId="0" applyNumberFormat="1" applyFont="1" applyFill="1" applyBorder="1" applyAlignment="1" applyProtection="1">
      <alignment horizontal="right" vertical="center"/>
    </xf>
    <xf numFmtId="170" fontId="40" fillId="2" borderId="0" xfId="0" applyNumberFormat="1" applyFont="1" applyFill="1" applyBorder="1" applyAlignment="1" applyProtection="1">
      <alignment horizontal="right" vertical="center"/>
    </xf>
    <xf numFmtId="0" fontId="36" fillId="2" borderId="45" xfId="0" applyFont="1" applyFill="1" applyBorder="1" applyAlignment="1" applyProtection="1">
      <alignment horizontal="right" vertical="center"/>
    </xf>
    <xf numFmtId="0" fontId="36" fillId="2" borderId="46" xfId="0" applyFont="1" applyFill="1" applyBorder="1" applyAlignment="1" applyProtection="1">
      <alignment horizontal="right" vertical="center"/>
    </xf>
    <xf numFmtId="170" fontId="36" fillId="2" borderId="46" xfId="0" applyNumberFormat="1" applyFont="1" applyFill="1" applyBorder="1" applyAlignment="1" applyProtection="1">
      <alignment horizontal="center" vertical="center"/>
    </xf>
    <xf numFmtId="169" fontId="10" fillId="2" borderId="46" xfId="0" applyNumberFormat="1" applyFont="1" applyFill="1" applyBorder="1" applyAlignment="1" applyProtection="1">
      <alignment horizontal="center" vertical="center"/>
    </xf>
    <xf numFmtId="170" fontId="4" fillId="2" borderId="46" xfId="0" applyNumberFormat="1" applyFont="1" applyFill="1" applyBorder="1" applyAlignment="1" applyProtection="1">
      <alignment horizontal="center" vertical="center"/>
    </xf>
    <xf numFmtId="170" fontId="10" fillId="2" borderId="46" xfId="0" applyNumberFormat="1" applyFont="1" applyFill="1" applyBorder="1" applyAlignment="1" applyProtection="1">
      <alignment horizontal="center" vertical="center"/>
    </xf>
    <xf numFmtId="170" fontId="10" fillId="2" borderId="47" xfId="0" applyNumberFormat="1" applyFont="1" applyFill="1" applyBorder="1" applyAlignment="1" applyProtection="1">
      <alignment horizontal="center" vertical="center"/>
    </xf>
    <xf numFmtId="0" fontId="16" fillId="2" borderId="43" xfId="0" applyFont="1" applyFill="1" applyBorder="1" applyProtection="1"/>
    <xf numFmtId="0" fontId="16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170" fontId="4" fillId="4" borderId="86" xfId="0" applyNumberFormat="1" applyFont="1" applyFill="1" applyBorder="1" applyAlignment="1" applyProtection="1">
      <alignment horizontal="center"/>
    </xf>
    <xf numFmtId="170" fontId="1" fillId="2" borderId="0" xfId="0" applyNumberFormat="1" applyFont="1" applyFill="1" applyBorder="1" applyAlignment="1" applyProtection="1">
      <alignment horizontal="right"/>
    </xf>
    <xf numFmtId="170" fontId="1" fillId="2" borderId="0" xfId="0" applyNumberFormat="1" applyFont="1" applyFill="1" applyBorder="1" applyAlignment="1" applyProtection="1">
      <alignment horizontal="center"/>
    </xf>
    <xf numFmtId="169" fontId="8" fillId="18" borderId="72" xfId="0" applyNumberFormat="1" applyFont="1" applyFill="1" applyBorder="1" applyProtection="1"/>
    <xf numFmtId="170" fontId="1" fillId="2" borderId="82" xfId="0" applyNumberFormat="1" applyFont="1" applyFill="1" applyBorder="1" applyAlignment="1" applyProtection="1">
      <alignment horizontal="center"/>
    </xf>
    <xf numFmtId="170" fontId="4" fillId="4" borderId="88" xfId="0" applyNumberFormat="1" applyFont="1" applyFill="1" applyBorder="1" applyAlignment="1" applyProtection="1">
      <alignment horizontal="center"/>
    </xf>
    <xf numFmtId="170" fontId="1" fillId="2" borderId="0" xfId="0" applyNumberFormat="1" applyFont="1" applyFill="1" applyBorder="1" applyProtection="1"/>
    <xf numFmtId="169" fontId="8" fillId="9" borderId="72" xfId="0" applyNumberFormat="1" applyFont="1" applyFill="1" applyBorder="1" applyProtection="1"/>
    <xf numFmtId="0" fontId="24" fillId="2" borderId="0" xfId="0" applyFont="1" applyFill="1" applyBorder="1" applyAlignment="1" applyProtection="1">
      <alignment vertical="center" wrapText="1"/>
    </xf>
    <xf numFmtId="0" fontId="16" fillId="2" borderId="0" xfId="0" applyFont="1" applyFill="1" applyBorder="1" applyProtection="1"/>
    <xf numFmtId="0" fontId="1" fillId="4" borderId="72" xfId="0" applyFont="1" applyFill="1" applyBorder="1" applyProtection="1"/>
    <xf numFmtId="0" fontId="43" fillId="2" borderId="0" xfId="0" applyFont="1" applyFill="1" applyBorder="1" applyAlignment="1" applyProtection="1"/>
    <xf numFmtId="49" fontId="4" fillId="4" borderId="89" xfId="0" applyNumberFormat="1" applyFont="1" applyFill="1" applyBorder="1" applyAlignment="1" applyProtection="1">
      <alignment horizontal="center"/>
    </xf>
    <xf numFmtId="170" fontId="1" fillId="2" borderId="0" xfId="0" applyNumberFormat="1" applyFont="1" applyFill="1" applyBorder="1" applyAlignment="1" applyProtection="1"/>
    <xf numFmtId="49" fontId="10" fillId="2" borderId="0" xfId="0" applyNumberFormat="1" applyFont="1" applyFill="1" applyBorder="1" applyAlignment="1" applyProtection="1">
      <alignment horizontal="center"/>
    </xf>
    <xf numFmtId="0" fontId="24" fillId="2" borderId="0" xfId="0" applyFont="1" applyFill="1" applyBorder="1" applyAlignment="1" applyProtection="1">
      <alignment horizontal="center" vertical="center" textRotation="90" wrapText="1"/>
    </xf>
    <xf numFmtId="0" fontId="1" fillId="2" borderId="44" xfId="0" applyFont="1" applyFill="1" applyBorder="1" applyProtection="1"/>
    <xf numFmtId="0" fontId="1" fillId="4" borderId="76" xfId="0" applyFont="1" applyFill="1" applyBorder="1" applyAlignment="1" applyProtection="1">
      <alignment horizontal="center"/>
    </xf>
    <xf numFmtId="0" fontId="2" fillId="2" borderId="52" xfId="0" applyFont="1" applyFill="1" applyBorder="1" applyAlignment="1" applyProtection="1">
      <alignment horizontal="right"/>
    </xf>
    <xf numFmtId="170" fontId="10" fillId="4" borderId="76" xfId="0" applyNumberFormat="1" applyFont="1" applyFill="1" applyBorder="1" applyProtection="1"/>
    <xf numFmtId="0" fontId="1" fillId="2" borderId="0" xfId="0" applyFont="1" applyFill="1" applyBorder="1" applyAlignment="1" applyProtection="1"/>
    <xf numFmtId="0" fontId="1" fillId="2" borderId="43" xfId="0" applyFont="1" applyFill="1" applyBorder="1" applyAlignment="1" applyProtection="1"/>
    <xf numFmtId="0" fontId="1" fillId="2" borderId="43" xfId="0" applyFont="1" applyFill="1" applyBorder="1" applyProtection="1"/>
    <xf numFmtId="0" fontId="1" fillId="2" borderId="0" xfId="0" applyFont="1" applyFill="1" applyAlignment="1" applyProtection="1">
      <alignment horizontal="center"/>
    </xf>
    <xf numFmtId="0" fontId="1" fillId="2" borderId="51" xfId="0" applyFont="1" applyFill="1" applyBorder="1" applyProtection="1"/>
    <xf numFmtId="0" fontId="1" fillId="2" borderId="52" xfId="0" applyFont="1" applyFill="1" applyBorder="1" applyProtection="1"/>
    <xf numFmtId="0" fontId="1" fillId="2" borderId="53" xfId="0" applyFont="1" applyFill="1" applyBorder="1" applyProtection="1"/>
    <xf numFmtId="0" fontId="1" fillId="2" borderId="0" xfId="0" applyFont="1" applyFill="1" applyAlignment="1" applyProtection="1"/>
    <xf numFmtId="0" fontId="1" fillId="2" borderId="0" xfId="0" applyFont="1" applyFill="1" applyAlignment="1" applyProtection="1">
      <alignment horizontal="center" vertical="center"/>
    </xf>
    <xf numFmtId="169" fontId="1" fillId="2" borderId="0" xfId="0" applyNumberFormat="1" applyFont="1" applyFill="1" applyBorder="1" applyProtection="1"/>
    <xf numFmtId="0" fontId="1" fillId="2" borderId="90" xfId="0" applyFont="1" applyFill="1" applyBorder="1" applyAlignment="1" applyProtection="1">
      <alignment horizontal="center" vertical="center"/>
    </xf>
    <xf numFmtId="169" fontId="1" fillId="2" borderId="91" xfId="0" applyNumberFormat="1" applyFont="1" applyFill="1" applyBorder="1" applyAlignment="1" applyProtection="1">
      <alignment horizontal="center" vertical="center" wrapText="1"/>
    </xf>
    <xf numFmtId="0" fontId="1" fillId="2" borderId="91" xfId="0" applyFont="1" applyFill="1" applyBorder="1" applyAlignment="1" applyProtection="1">
      <alignment horizontal="center" vertical="center"/>
    </xf>
    <xf numFmtId="0" fontId="1" fillId="2" borderId="91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/>
    </xf>
    <xf numFmtId="0" fontId="44" fillId="2" borderId="91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/>
    </xf>
    <xf numFmtId="49" fontId="13" fillId="5" borderId="71" xfId="0" applyNumberFormat="1" applyFont="1" applyFill="1" applyBorder="1" applyAlignment="1" applyProtection="1">
      <alignment horizontal="center" vertical="center" wrapText="1"/>
    </xf>
    <xf numFmtId="169" fontId="16" fillId="3" borderId="72" xfId="0" applyNumberFormat="1" applyFont="1" applyFill="1" applyBorder="1" applyProtection="1"/>
    <xf numFmtId="0" fontId="1" fillId="2" borderId="72" xfId="0" applyFont="1" applyFill="1" applyBorder="1" applyProtection="1"/>
    <xf numFmtId="169" fontId="1" fillId="2" borderId="72" xfId="0" applyNumberFormat="1" applyFont="1" applyFill="1" applyBorder="1" applyProtection="1"/>
    <xf numFmtId="2" fontId="1" fillId="2" borderId="72" xfId="0" applyNumberFormat="1" applyFont="1" applyFill="1" applyBorder="1" applyProtection="1"/>
    <xf numFmtId="169" fontId="1" fillId="3" borderId="72" xfId="0" applyNumberFormat="1" applyFont="1" applyFill="1" applyBorder="1" applyProtection="1"/>
    <xf numFmtId="172" fontId="1" fillId="2" borderId="72" xfId="0" applyNumberFormat="1" applyFont="1" applyFill="1" applyBorder="1" applyProtection="1"/>
    <xf numFmtId="49" fontId="15" fillId="5" borderId="71" xfId="0" applyNumberFormat="1" applyFont="1" applyFill="1" applyBorder="1" applyAlignment="1" applyProtection="1">
      <alignment horizontal="center" vertical="center" wrapText="1"/>
    </xf>
    <xf numFmtId="0" fontId="1" fillId="2" borderId="83" xfId="0" applyFont="1" applyFill="1" applyBorder="1" applyProtection="1"/>
    <xf numFmtId="169" fontId="1" fillId="2" borderId="84" xfId="0" applyNumberFormat="1" applyFont="1" applyFill="1" applyBorder="1" applyProtection="1"/>
    <xf numFmtId="0" fontId="46" fillId="2" borderId="43" xfId="0" applyFont="1" applyFill="1" applyBorder="1" applyProtection="1"/>
    <xf numFmtId="0" fontId="46" fillId="2" borderId="0" xfId="0" applyFont="1" applyFill="1" applyBorder="1" applyProtection="1"/>
    <xf numFmtId="0" fontId="46" fillId="2" borderId="0" xfId="0" applyFont="1" applyFill="1" applyBorder="1" applyAlignment="1" applyProtection="1">
      <alignment horizontal="center"/>
    </xf>
    <xf numFmtId="0" fontId="46" fillId="2" borderId="44" xfId="0" applyFont="1" applyFill="1" applyBorder="1" applyProtection="1"/>
    <xf numFmtId="0" fontId="1" fillId="2" borderId="52" xfId="0" applyFont="1" applyFill="1" applyBorder="1" applyAlignment="1" applyProtection="1">
      <alignment horizontal="center"/>
    </xf>
    <xf numFmtId="0" fontId="36" fillId="2" borderId="0" xfId="0" applyFont="1" applyFill="1" applyBorder="1" applyAlignment="1" applyProtection="1">
      <alignment horizontal="center" vertical="center"/>
      <protection locked="0"/>
    </xf>
    <xf numFmtId="170" fontId="36" fillId="2" borderId="0" xfId="0" applyNumberFormat="1" applyFont="1" applyFill="1" applyBorder="1" applyAlignment="1" applyProtection="1">
      <alignment horizontal="center" vertical="center"/>
      <protection locked="0"/>
    </xf>
    <xf numFmtId="10" fontId="36" fillId="2" borderId="0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applyFont="1" applyFill="1" applyBorder="1" applyAlignment="1" applyProtection="1">
      <alignment horizontal="right" vertical="center"/>
      <protection locked="0"/>
    </xf>
    <xf numFmtId="0" fontId="46" fillId="2" borderId="43" xfId="0" applyFont="1" applyFill="1" applyBorder="1" applyAlignment="1" applyProtection="1">
      <alignment horizontal="left" wrapText="1"/>
    </xf>
    <xf numFmtId="0" fontId="46" fillId="2" borderId="0" xfId="0" applyFont="1" applyFill="1" applyBorder="1" applyAlignment="1" applyProtection="1">
      <alignment horizontal="left" wrapText="1"/>
    </xf>
    <xf numFmtId="0" fontId="46" fillId="2" borderId="44" xfId="0" applyFont="1" applyFill="1" applyBorder="1" applyAlignment="1" applyProtection="1">
      <alignment horizontal="left" wrapText="1"/>
    </xf>
    <xf numFmtId="168" fontId="1" fillId="2" borderId="94" xfId="0" applyNumberFormat="1" applyFont="1" applyFill="1" applyBorder="1" applyAlignment="1" applyProtection="1">
      <alignment horizontal="center"/>
    </xf>
    <xf numFmtId="168" fontId="1" fillId="2" borderId="95" xfId="0" applyNumberFormat="1" applyFont="1" applyFill="1" applyBorder="1" applyAlignment="1" applyProtection="1">
      <alignment horizontal="center"/>
    </xf>
    <xf numFmtId="173" fontId="1" fillId="2" borderId="96" xfId="0" applyNumberFormat="1" applyFont="1" applyFill="1" applyBorder="1" applyAlignment="1" applyProtection="1">
      <alignment horizontal="center"/>
    </xf>
    <xf numFmtId="173" fontId="1" fillId="2" borderId="97" xfId="0" applyNumberFormat="1" applyFont="1" applyFill="1" applyBorder="1" applyAlignment="1" applyProtection="1">
      <alignment horizontal="center"/>
    </xf>
    <xf numFmtId="0" fontId="45" fillId="4" borderId="45" xfId="0" applyFont="1" applyFill="1" applyBorder="1" applyAlignment="1" applyProtection="1">
      <alignment horizontal="center"/>
    </xf>
    <xf numFmtId="0" fontId="45" fillId="4" borderId="46" xfId="0" applyFont="1" applyFill="1" applyBorder="1" applyAlignment="1" applyProtection="1">
      <alignment horizontal="center"/>
    </xf>
    <xf numFmtId="0" fontId="45" fillId="4" borderId="47" xfId="0" applyFont="1" applyFill="1" applyBorder="1" applyAlignment="1" applyProtection="1">
      <alignment horizontal="center"/>
    </xf>
    <xf numFmtId="169" fontId="1" fillId="9" borderId="72" xfId="0" applyNumberFormat="1" applyFont="1" applyFill="1" applyBorder="1" applyAlignment="1" applyProtection="1">
      <alignment horizontal="center"/>
    </xf>
    <xf numFmtId="169" fontId="1" fillId="9" borderId="82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 vertical="top" wrapText="1"/>
    </xf>
    <xf numFmtId="0" fontId="1" fillId="2" borderId="44" xfId="0" applyFont="1" applyFill="1" applyBorder="1" applyAlignment="1" applyProtection="1">
      <alignment horizontal="left" vertical="top" wrapText="1"/>
    </xf>
    <xf numFmtId="0" fontId="1" fillId="2" borderId="92" xfId="0" applyFont="1" applyFill="1" applyBorder="1" applyAlignment="1" applyProtection="1">
      <alignment horizontal="center" vertical="center" wrapText="1"/>
    </xf>
    <xf numFmtId="0" fontId="1" fillId="2" borderId="93" xfId="0" applyFont="1" applyFill="1" applyBorder="1" applyAlignment="1" applyProtection="1">
      <alignment horizontal="center" vertical="center" wrapText="1"/>
    </xf>
    <xf numFmtId="0" fontId="1" fillId="2" borderId="95" xfId="0" applyNumberFormat="1" applyFont="1" applyFill="1" applyBorder="1" applyAlignment="1" applyProtection="1">
      <alignment horizontal="center"/>
    </xf>
    <xf numFmtId="0" fontId="24" fillId="2" borderId="43" xfId="0" applyFont="1" applyFill="1" applyBorder="1" applyAlignment="1" applyProtection="1">
      <alignment horizontal="center" vertical="center" textRotation="90" wrapText="1"/>
    </xf>
    <xf numFmtId="0" fontId="43" fillId="2" borderId="0" xfId="0" applyFont="1" applyFill="1" applyBorder="1" applyAlignment="1" applyProtection="1">
      <alignment horizontal="right" vertical="center"/>
    </xf>
    <xf numFmtId="0" fontId="43" fillId="2" borderId="87" xfId="0" applyFont="1" applyFill="1" applyBorder="1" applyAlignment="1" applyProtection="1">
      <alignment horizontal="right" vertical="center"/>
    </xf>
    <xf numFmtId="0" fontId="43" fillId="2" borderId="0" xfId="0" applyFont="1" applyFill="1" applyBorder="1" applyAlignment="1" applyProtection="1">
      <alignment horizontal="right"/>
    </xf>
    <xf numFmtId="0" fontId="43" fillId="2" borderId="87" xfId="0" applyFont="1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right" vertical="center"/>
    </xf>
    <xf numFmtId="0" fontId="36" fillId="2" borderId="73" xfId="0" applyFont="1" applyFill="1" applyBorder="1" applyAlignment="1" applyProtection="1">
      <alignment horizontal="left" wrapText="1"/>
    </xf>
    <xf numFmtId="0" fontId="36" fillId="2" borderId="0" xfId="0" applyFont="1" applyFill="1" applyBorder="1" applyAlignment="1" applyProtection="1">
      <alignment horizontal="left" wrapText="1"/>
    </xf>
    <xf numFmtId="0" fontId="36" fillId="2" borderId="44" xfId="0" applyFont="1" applyFill="1" applyBorder="1" applyAlignment="1" applyProtection="1">
      <alignment horizontal="left" wrapText="1"/>
    </xf>
    <xf numFmtId="0" fontId="32" fillId="9" borderId="77" xfId="0" applyFont="1" applyFill="1" applyBorder="1" applyAlignment="1" applyProtection="1">
      <alignment horizontal="center"/>
    </xf>
    <xf numFmtId="0" fontId="32" fillId="9" borderId="64" xfId="0" applyFont="1" applyFill="1" applyBorder="1" applyAlignment="1" applyProtection="1">
      <alignment horizontal="center"/>
    </xf>
    <xf numFmtId="0" fontId="32" fillId="9" borderId="78" xfId="0" applyFont="1" applyFill="1" applyBorder="1" applyAlignment="1" applyProtection="1">
      <alignment horizontal="center"/>
    </xf>
    <xf numFmtId="0" fontId="36" fillId="2" borderId="45" xfId="0" applyFont="1" applyFill="1" applyBorder="1" applyAlignment="1" applyProtection="1">
      <alignment horizontal="center" vertical="center" wrapText="1"/>
    </xf>
    <xf numFmtId="0" fontId="36" fillId="2" borderId="46" xfId="0" applyFont="1" applyFill="1" applyBorder="1" applyAlignment="1" applyProtection="1">
      <alignment horizontal="center" vertical="center" wrapText="1"/>
    </xf>
    <xf numFmtId="0" fontId="36" fillId="2" borderId="79" xfId="0" applyFont="1" applyFill="1" applyBorder="1" applyAlignment="1" applyProtection="1">
      <alignment horizontal="center" vertical="center" wrapText="1"/>
    </xf>
    <xf numFmtId="0" fontId="1" fillId="2" borderId="63" xfId="0" applyFont="1" applyFill="1" applyBorder="1" applyAlignment="1" applyProtection="1">
      <alignment horizontal="center" vertical="center"/>
    </xf>
    <xf numFmtId="0" fontId="1" fillId="2" borderId="46" xfId="0" applyFont="1" applyFill="1" applyBorder="1" applyAlignment="1" applyProtection="1">
      <alignment horizontal="center" vertical="center"/>
    </xf>
    <xf numFmtId="0" fontId="1" fillId="2" borderId="79" xfId="0" applyFont="1" applyFill="1" applyBorder="1" applyAlignment="1" applyProtection="1">
      <alignment horizontal="center" vertical="center"/>
    </xf>
    <xf numFmtId="0" fontId="1" fillId="2" borderId="80" xfId="0" applyFont="1" applyFill="1" applyBorder="1" applyAlignment="1" applyProtection="1">
      <alignment horizontal="center" vertical="center" wrapText="1"/>
    </xf>
    <xf numFmtId="0" fontId="1" fillId="2" borderId="82" xfId="0" applyFont="1" applyFill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center" vertical="center"/>
    </xf>
    <xf numFmtId="0" fontId="42" fillId="9" borderId="2" xfId="0" applyFont="1" applyFill="1" applyBorder="1" applyAlignment="1" applyProtection="1">
      <alignment horizontal="center" vertical="center"/>
    </xf>
    <xf numFmtId="0" fontId="42" fillId="9" borderId="3" xfId="0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horizontal="center" vertical="center"/>
    </xf>
    <xf numFmtId="0" fontId="4" fillId="9" borderId="2" xfId="0" applyFont="1" applyFill="1" applyBorder="1" applyAlignment="1" applyProtection="1">
      <alignment horizontal="center" vertical="center"/>
    </xf>
    <xf numFmtId="9" fontId="12" fillId="4" borderId="1" xfId="0" applyNumberFormat="1" applyFont="1" applyFill="1" applyBorder="1" applyAlignment="1" applyProtection="1">
      <alignment horizontal="center"/>
    </xf>
    <xf numFmtId="0" fontId="12" fillId="4" borderId="2" xfId="0" applyFont="1" applyFill="1" applyBorder="1" applyAlignment="1" applyProtection="1">
      <alignment horizontal="center"/>
    </xf>
    <xf numFmtId="0" fontId="12" fillId="4" borderId="65" xfId="0" applyFont="1" applyFill="1" applyBorder="1" applyAlignment="1" applyProtection="1">
      <alignment horizontal="center"/>
    </xf>
    <xf numFmtId="0" fontId="32" fillId="9" borderId="66" xfId="0" applyFont="1" applyFill="1" applyBorder="1" applyAlignment="1" applyProtection="1">
      <alignment horizontal="center"/>
    </xf>
    <xf numFmtId="0" fontId="32" fillId="9" borderId="67" xfId="0" applyFont="1" applyFill="1" applyBorder="1" applyAlignment="1" applyProtection="1">
      <alignment horizontal="center"/>
    </xf>
    <xf numFmtId="0" fontId="32" fillId="9" borderId="68" xfId="0" applyFont="1" applyFill="1" applyBorder="1" applyAlignment="1" applyProtection="1">
      <alignment horizontal="center"/>
    </xf>
    <xf numFmtId="0" fontId="33" fillId="2" borderId="69" xfId="0" applyFont="1" applyFill="1" applyBorder="1" applyAlignment="1" applyProtection="1">
      <alignment horizontal="center" vertical="center" wrapText="1"/>
    </xf>
    <xf numFmtId="0" fontId="33" fillId="2" borderId="71" xfId="0" applyFont="1" applyFill="1" applyBorder="1" applyAlignment="1" applyProtection="1">
      <alignment horizontal="center" vertical="center"/>
    </xf>
    <xf numFmtId="170" fontId="33" fillId="2" borderId="70" xfId="0" applyNumberFormat="1" applyFont="1" applyFill="1" applyBorder="1" applyAlignment="1" applyProtection="1">
      <alignment horizontal="center" vertical="center" wrapText="1"/>
    </xf>
    <xf numFmtId="170" fontId="33" fillId="2" borderId="72" xfId="0" applyNumberFormat="1" applyFont="1" applyFill="1" applyBorder="1" applyAlignment="1" applyProtection="1">
      <alignment horizontal="center" vertical="center"/>
    </xf>
    <xf numFmtId="170" fontId="33" fillId="2" borderId="70" xfId="0" applyNumberFormat="1" applyFont="1" applyFill="1" applyBorder="1" applyAlignment="1" applyProtection="1">
      <alignment horizontal="right" vertical="center"/>
    </xf>
    <xf numFmtId="170" fontId="33" fillId="2" borderId="72" xfId="0" applyNumberFormat="1" applyFont="1" applyFill="1" applyBorder="1" applyAlignment="1" applyProtection="1">
      <alignment horizontal="right" vertical="center"/>
    </xf>
    <xf numFmtId="170" fontId="33" fillId="2" borderId="72" xfId="0" applyNumberFormat="1" applyFont="1" applyFill="1" applyBorder="1" applyAlignment="1" applyProtection="1">
      <alignment horizontal="center" vertical="center" wrapText="1"/>
    </xf>
    <xf numFmtId="0" fontId="33" fillId="2" borderId="70" xfId="0" applyFont="1" applyFill="1" applyBorder="1" applyAlignment="1" applyProtection="1">
      <alignment horizontal="center" vertical="center" wrapText="1"/>
    </xf>
    <xf numFmtId="0" fontId="33" fillId="2" borderId="72" xfId="0" applyFont="1" applyFill="1" applyBorder="1" applyAlignment="1" applyProtection="1">
      <alignment horizontal="center" vertical="center" wrapText="1"/>
    </xf>
    <xf numFmtId="0" fontId="33" fillId="2" borderId="64" xfId="0" applyFont="1" applyFill="1" applyBorder="1" applyAlignment="1" applyProtection="1">
      <alignment horizontal="center" vertical="center" wrapText="1"/>
    </xf>
    <xf numFmtId="0" fontId="29" fillId="2" borderId="52" xfId="0" applyFont="1" applyFill="1" applyBorder="1" applyAlignment="1" applyProtection="1">
      <alignment horizontal="right" vertical="center"/>
      <protection locked="0"/>
    </xf>
    <xf numFmtId="0" fontId="30" fillId="17" borderId="45" xfId="0" applyFont="1" applyFill="1" applyBorder="1" applyAlignment="1" applyProtection="1">
      <alignment horizontal="center" vertical="center"/>
    </xf>
    <xf numFmtId="0" fontId="30" fillId="17" borderId="46" xfId="0" applyFont="1" applyFill="1" applyBorder="1" applyAlignment="1" applyProtection="1">
      <alignment horizontal="center" vertical="center"/>
    </xf>
    <xf numFmtId="0" fontId="30" fillId="17" borderId="47" xfId="0" applyFont="1" applyFill="1" applyBorder="1" applyAlignment="1" applyProtection="1">
      <alignment horizontal="center" vertical="center"/>
    </xf>
    <xf numFmtId="0" fontId="30" fillId="17" borderId="43" xfId="0" applyFont="1" applyFill="1" applyBorder="1" applyAlignment="1" applyProtection="1">
      <alignment horizontal="center" vertical="center"/>
    </xf>
    <xf numFmtId="0" fontId="30" fillId="17" borderId="0" xfId="0" applyFont="1" applyFill="1" applyBorder="1" applyAlignment="1" applyProtection="1">
      <alignment horizontal="center" vertical="center"/>
    </xf>
    <xf numFmtId="0" fontId="30" fillId="17" borderId="44" xfId="0" applyFont="1" applyFill="1" applyBorder="1" applyAlignment="1" applyProtection="1">
      <alignment horizontal="center" vertical="center"/>
    </xf>
    <xf numFmtId="0" fontId="30" fillId="17" borderId="51" xfId="0" applyFont="1" applyFill="1" applyBorder="1" applyAlignment="1" applyProtection="1">
      <alignment horizontal="center" vertical="center"/>
    </xf>
    <xf numFmtId="0" fontId="30" fillId="17" borderId="52" xfId="0" applyFont="1" applyFill="1" applyBorder="1" applyAlignment="1" applyProtection="1">
      <alignment horizontal="center" vertical="center"/>
    </xf>
    <xf numFmtId="0" fontId="30" fillId="17" borderId="53" xfId="0" applyFont="1" applyFill="1" applyBorder="1" applyAlignment="1" applyProtection="1">
      <alignment horizontal="center" vertical="center"/>
    </xf>
    <xf numFmtId="0" fontId="30" fillId="17" borderId="4" xfId="0" applyFont="1" applyFill="1" applyBorder="1" applyAlignment="1" applyProtection="1">
      <alignment horizontal="left" vertical="center"/>
    </xf>
    <xf numFmtId="0" fontId="30" fillId="17" borderId="5" xfId="0" applyFont="1" applyFill="1" applyBorder="1" applyAlignment="1" applyProtection="1">
      <alignment horizontal="left" vertical="center"/>
    </xf>
    <xf numFmtId="0" fontId="30" fillId="17" borderId="10" xfId="0" applyFont="1" applyFill="1" applyBorder="1" applyAlignment="1" applyProtection="1">
      <alignment horizontal="left" vertical="center"/>
    </xf>
    <xf numFmtId="0" fontId="30" fillId="17" borderId="11" xfId="0" applyFont="1" applyFill="1" applyBorder="1" applyAlignment="1" applyProtection="1">
      <alignment horizontal="left" vertical="center"/>
    </xf>
    <xf numFmtId="0" fontId="30" fillId="17" borderId="39" xfId="0" applyFont="1" applyFill="1" applyBorder="1" applyAlignment="1" applyProtection="1">
      <alignment horizontal="left" vertical="center"/>
    </xf>
    <xf numFmtId="0" fontId="30" fillId="17" borderId="40" xfId="0" applyFont="1" applyFill="1" applyBorder="1" applyAlignment="1" applyProtection="1">
      <alignment horizontal="left" vertical="center"/>
    </xf>
    <xf numFmtId="0" fontId="29" fillId="2" borderId="52" xfId="0" applyFont="1" applyFill="1" applyBorder="1" applyAlignment="1" applyProtection="1">
      <alignment horizontal="right" vertical="center"/>
    </xf>
    <xf numFmtId="0" fontId="27" fillId="11" borderId="22" xfId="0" applyFont="1" applyFill="1" applyBorder="1" applyAlignment="1" applyProtection="1">
      <alignment horizontal="left" vertical="center"/>
    </xf>
    <xf numFmtId="0" fontId="27" fillId="11" borderId="23" xfId="0" applyFont="1" applyFill="1" applyBorder="1" applyAlignment="1" applyProtection="1">
      <alignment horizontal="left" vertical="center"/>
    </xf>
    <xf numFmtId="0" fontId="27" fillId="11" borderId="25" xfId="0" applyFont="1" applyFill="1" applyBorder="1" applyAlignment="1" applyProtection="1">
      <alignment horizontal="left" vertical="center"/>
    </xf>
    <xf numFmtId="0" fontId="27" fillId="11" borderId="54" xfId="0" applyFont="1" applyFill="1" applyBorder="1" applyAlignment="1" applyProtection="1">
      <alignment horizontal="left" vertical="center"/>
    </xf>
    <xf numFmtId="0" fontId="27" fillId="11" borderId="55" xfId="0" applyFont="1" applyFill="1" applyBorder="1" applyAlignment="1" applyProtection="1">
      <alignment horizontal="left" vertical="center"/>
    </xf>
    <xf numFmtId="0" fontId="27" fillId="11" borderId="56" xfId="0" applyFont="1" applyFill="1" applyBorder="1" applyAlignment="1" applyProtection="1">
      <alignment horizontal="left" vertical="center"/>
    </xf>
    <xf numFmtId="0" fontId="17" fillId="2" borderId="52" xfId="0" applyFont="1" applyFill="1" applyBorder="1" applyAlignment="1" applyProtection="1">
      <alignment horizontal="right" vertical="center"/>
      <protection locked="0"/>
    </xf>
    <xf numFmtId="0" fontId="4" fillId="16" borderId="45" xfId="0" applyFont="1" applyFill="1" applyBorder="1" applyAlignment="1" applyProtection="1">
      <alignment horizontal="center" vertical="center"/>
    </xf>
    <xf numFmtId="0" fontId="4" fillId="16" borderId="46" xfId="0" applyFont="1" applyFill="1" applyBorder="1" applyAlignment="1" applyProtection="1">
      <alignment horizontal="center" vertical="center"/>
    </xf>
    <xf numFmtId="0" fontId="4" fillId="16" borderId="47" xfId="0" applyFont="1" applyFill="1" applyBorder="1" applyAlignment="1" applyProtection="1">
      <alignment horizontal="center" vertical="center"/>
    </xf>
    <xf numFmtId="0" fontId="4" fillId="16" borderId="43" xfId="0" applyFont="1" applyFill="1" applyBorder="1" applyAlignment="1" applyProtection="1">
      <alignment horizontal="center" vertical="center"/>
    </xf>
    <xf numFmtId="0" fontId="4" fillId="16" borderId="0" xfId="0" applyFont="1" applyFill="1" applyBorder="1" applyAlignment="1" applyProtection="1">
      <alignment horizontal="center" vertical="center"/>
    </xf>
    <xf numFmtId="0" fontId="4" fillId="16" borderId="44" xfId="0" applyFont="1" applyFill="1" applyBorder="1" applyAlignment="1" applyProtection="1">
      <alignment horizontal="center" vertical="center"/>
    </xf>
    <xf numFmtId="0" fontId="4" fillId="16" borderId="51" xfId="0" applyFont="1" applyFill="1" applyBorder="1" applyAlignment="1" applyProtection="1">
      <alignment horizontal="center" vertical="center"/>
    </xf>
    <xf numFmtId="0" fontId="4" fillId="16" borderId="52" xfId="0" applyFont="1" applyFill="1" applyBorder="1" applyAlignment="1" applyProtection="1">
      <alignment horizontal="center" vertical="center"/>
    </xf>
    <xf numFmtId="0" fontId="4" fillId="16" borderId="53" xfId="0" applyFont="1" applyFill="1" applyBorder="1" applyAlignment="1" applyProtection="1">
      <alignment horizontal="center" vertical="center"/>
    </xf>
    <xf numFmtId="0" fontId="4" fillId="16" borderId="6" xfId="0" applyFont="1" applyFill="1" applyBorder="1" applyAlignment="1" applyProtection="1">
      <alignment horizontal="left" vertical="center"/>
    </xf>
    <xf numFmtId="0" fontId="4" fillId="16" borderId="7" xfId="0" applyFont="1" applyFill="1" applyBorder="1" applyAlignment="1" applyProtection="1">
      <alignment horizontal="left" vertical="center"/>
    </xf>
    <xf numFmtId="0" fontId="4" fillId="16" borderId="8" xfId="0" applyFont="1" applyFill="1" applyBorder="1" applyAlignment="1" applyProtection="1">
      <alignment horizontal="left" vertical="center"/>
    </xf>
    <xf numFmtId="0" fontId="4" fillId="16" borderId="16" xfId="0" applyFont="1" applyFill="1" applyBorder="1" applyAlignment="1" applyProtection="1">
      <alignment horizontal="left" vertical="center"/>
    </xf>
    <xf numFmtId="0" fontId="4" fillId="16" borderId="17" xfId="0" applyFont="1" applyFill="1" applyBorder="1" applyAlignment="1" applyProtection="1">
      <alignment horizontal="left" vertical="center"/>
    </xf>
    <xf numFmtId="0" fontId="4" fillId="16" borderId="18" xfId="0" applyFont="1" applyFill="1" applyBorder="1" applyAlignment="1" applyProtection="1">
      <alignment horizontal="left" vertical="center"/>
    </xf>
    <xf numFmtId="0" fontId="4" fillId="15" borderId="34" xfId="0" applyFont="1" applyFill="1" applyBorder="1" applyAlignment="1" applyProtection="1">
      <alignment horizontal="left" vertical="center"/>
    </xf>
    <xf numFmtId="0" fontId="4" fillId="15" borderId="35" xfId="0" applyFont="1" applyFill="1" applyBorder="1" applyAlignment="1" applyProtection="1">
      <alignment horizontal="left" vertical="center"/>
    </xf>
    <xf numFmtId="0" fontId="4" fillId="15" borderId="38" xfId="0" applyFont="1" applyFill="1" applyBorder="1" applyAlignment="1" applyProtection="1">
      <alignment horizontal="left" vertical="center"/>
    </xf>
    <xf numFmtId="0" fontId="4" fillId="16" borderId="22" xfId="0" applyFont="1" applyFill="1" applyBorder="1" applyAlignment="1" applyProtection="1">
      <alignment horizontal="left" vertical="center"/>
    </xf>
    <xf numFmtId="0" fontId="4" fillId="16" borderId="23" xfId="0" applyFont="1" applyFill="1" applyBorder="1" applyAlignment="1" applyProtection="1">
      <alignment horizontal="left" vertical="center"/>
    </xf>
    <xf numFmtId="0" fontId="4" fillId="16" borderId="25" xfId="0" applyFont="1" applyFill="1" applyBorder="1" applyAlignment="1" applyProtection="1">
      <alignment horizontal="left" vertical="center"/>
    </xf>
    <xf numFmtId="0" fontId="17" fillId="2" borderId="0" xfId="0" applyFont="1" applyFill="1" applyBorder="1" applyAlignment="1" applyProtection="1">
      <alignment horizontal="right" vertical="center"/>
      <protection locked="0"/>
    </xf>
    <xf numFmtId="0" fontId="27" fillId="11" borderId="45" xfId="0" applyFont="1" applyFill="1" applyBorder="1" applyAlignment="1" applyProtection="1">
      <alignment horizontal="center" vertical="center"/>
    </xf>
    <xf numFmtId="0" fontId="27" fillId="11" borderId="46" xfId="0" applyFont="1" applyFill="1" applyBorder="1" applyAlignment="1" applyProtection="1">
      <alignment horizontal="center" vertical="center"/>
    </xf>
    <xf numFmtId="0" fontId="27" fillId="11" borderId="47" xfId="0" applyFont="1" applyFill="1" applyBorder="1" applyAlignment="1" applyProtection="1">
      <alignment horizontal="center" vertical="center"/>
    </xf>
    <xf numFmtId="0" fontId="27" fillId="11" borderId="43" xfId="0" applyFont="1" applyFill="1" applyBorder="1" applyAlignment="1" applyProtection="1">
      <alignment horizontal="center" vertical="center"/>
    </xf>
    <xf numFmtId="0" fontId="27" fillId="11" borderId="0" xfId="0" applyFont="1" applyFill="1" applyBorder="1" applyAlignment="1" applyProtection="1">
      <alignment horizontal="center" vertical="center"/>
    </xf>
    <xf numFmtId="0" fontId="27" fillId="11" borderId="44" xfId="0" applyFont="1" applyFill="1" applyBorder="1" applyAlignment="1" applyProtection="1">
      <alignment horizontal="center" vertical="center"/>
    </xf>
    <xf numFmtId="0" fontId="27" fillId="11" borderId="51" xfId="0" applyFont="1" applyFill="1" applyBorder="1" applyAlignment="1" applyProtection="1">
      <alignment horizontal="center" vertical="center"/>
    </xf>
    <xf numFmtId="0" fontId="27" fillId="11" borderId="52" xfId="0" applyFont="1" applyFill="1" applyBorder="1" applyAlignment="1" applyProtection="1">
      <alignment horizontal="center" vertical="center"/>
    </xf>
    <xf numFmtId="0" fontId="27" fillId="11" borderId="53" xfId="0" applyFont="1" applyFill="1" applyBorder="1" applyAlignment="1" applyProtection="1">
      <alignment horizontal="center" vertical="center"/>
    </xf>
    <xf numFmtId="0" fontId="27" fillId="11" borderId="48" xfId="0" applyFont="1" applyFill="1" applyBorder="1" applyAlignment="1" applyProtection="1">
      <alignment horizontal="center" vertical="center"/>
    </xf>
    <xf numFmtId="0" fontId="27" fillId="11" borderId="50" xfId="0" applyFont="1" applyFill="1" applyBorder="1" applyAlignment="1" applyProtection="1">
      <alignment horizontal="center" vertical="center"/>
    </xf>
    <xf numFmtId="0" fontId="27" fillId="11" borderId="12" xfId="0" applyFont="1" applyFill="1" applyBorder="1" applyAlignment="1" applyProtection="1">
      <alignment horizontal="center" vertical="center"/>
    </xf>
    <xf numFmtId="0" fontId="27" fillId="12" borderId="7" xfId="0" applyFont="1" applyFill="1" applyBorder="1" applyAlignment="1" applyProtection="1">
      <alignment horizontal="left" vertical="center"/>
    </xf>
    <xf numFmtId="0" fontId="27" fillId="12" borderId="9" xfId="0" applyFont="1" applyFill="1" applyBorder="1" applyAlignment="1" applyProtection="1">
      <alignment horizontal="left" vertical="center"/>
    </xf>
    <xf numFmtId="0" fontId="27" fillId="9" borderId="17" xfId="0" applyFont="1" applyFill="1" applyBorder="1" applyAlignment="1" applyProtection="1">
      <alignment horizontal="left" vertical="center"/>
    </xf>
    <xf numFmtId="0" fontId="27" fillId="9" borderId="19" xfId="0" applyFont="1" applyFill="1" applyBorder="1" applyAlignment="1" applyProtection="1">
      <alignment horizontal="left" vertical="center"/>
    </xf>
    <xf numFmtId="0" fontId="27" fillId="13" borderId="17" xfId="0" applyFont="1" applyFill="1" applyBorder="1" applyAlignment="1" applyProtection="1">
      <alignment horizontal="left" vertical="center"/>
    </xf>
    <xf numFmtId="0" fontId="27" fillId="13" borderId="19" xfId="0" applyFont="1" applyFill="1" applyBorder="1" applyAlignment="1" applyProtection="1">
      <alignment horizontal="left" vertical="center"/>
    </xf>
    <xf numFmtId="0" fontId="27" fillId="14" borderId="17" xfId="0" applyFont="1" applyFill="1" applyBorder="1" applyAlignment="1" applyProtection="1">
      <alignment horizontal="left" vertical="center"/>
    </xf>
    <xf numFmtId="0" fontId="27" fillId="14" borderId="19" xfId="0" applyFont="1" applyFill="1" applyBorder="1" applyAlignment="1" applyProtection="1">
      <alignment horizontal="left" vertical="center"/>
    </xf>
    <xf numFmtId="0" fontId="2" fillId="7" borderId="10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 applyProtection="1">
      <alignment horizontal="center" vertical="center"/>
    </xf>
    <xf numFmtId="0" fontId="2" fillId="7" borderId="39" xfId="0" applyFont="1" applyFill="1" applyBorder="1" applyAlignment="1" applyProtection="1">
      <alignment horizontal="center" vertical="center"/>
    </xf>
    <xf numFmtId="0" fontId="2" fillId="7" borderId="40" xfId="0" applyFont="1" applyFill="1" applyBorder="1" applyAlignment="1" applyProtection="1">
      <alignment horizontal="center" vertical="center"/>
    </xf>
    <xf numFmtId="0" fontId="2" fillId="7" borderId="41" xfId="0" applyFont="1" applyFill="1" applyBorder="1" applyAlignment="1" applyProtection="1">
      <alignment horizontal="center" vertical="center"/>
    </xf>
    <xf numFmtId="0" fontId="10" fillId="10" borderId="1" xfId="0" applyFont="1" applyFill="1" applyBorder="1" applyAlignment="1" applyProtection="1">
      <alignment horizontal="center" vertical="center"/>
    </xf>
    <xf numFmtId="0" fontId="10" fillId="10" borderId="2" xfId="0" applyFont="1" applyFill="1" applyBorder="1" applyAlignment="1" applyProtection="1">
      <alignment horizontal="center" vertical="center"/>
    </xf>
    <xf numFmtId="0" fontId="10" fillId="10" borderId="3" xfId="0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 applyProtection="1">
      <alignment horizontal="center" vertical="center"/>
      <protection locked="0"/>
    </xf>
    <xf numFmtId="0" fontId="16" fillId="2" borderId="9" xfId="0" applyFont="1" applyFill="1" applyBorder="1" applyAlignment="1" applyProtection="1">
      <alignment horizontal="center" vertical="center"/>
      <protection locked="0"/>
    </xf>
    <xf numFmtId="0" fontId="16" fillId="2" borderId="16" xfId="0" applyFont="1" applyFill="1" applyBorder="1" applyAlignment="1" applyProtection="1">
      <alignment horizontal="center" vertical="center"/>
      <protection locked="0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16" fillId="2" borderId="19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16" fillId="2" borderId="40" xfId="0" applyFont="1" applyFill="1" applyBorder="1" applyAlignment="1" applyProtection="1">
      <alignment horizontal="center" vertical="center"/>
      <protection locked="0"/>
    </xf>
    <xf numFmtId="0" fontId="16" fillId="2" borderId="25" xfId="0" applyFont="1" applyFill="1" applyBorder="1" applyAlignment="1" applyProtection="1">
      <alignment horizontal="center" vertical="center"/>
      <protection locked="0"/>
    </xf>
    <xf numFmtId="0" fontId="25" fillId="2" borderId="4" xfId="0" applyFont="1" applyFill="1" applyBorder="1" applyAlignment="1" applyProtection="1">
      <alignment horizontal="left" vertical="center"/>
    </xf>
    <xf numFmtId="0" fontId="25" fillId="2" borderId="5" xfId="0" applyFont="1" applyFill="1" applyBorder="1" applyAlignment="1" applyProtection="1">
      <alignment horizontal="left" vertical="center"/>
    </xf>
    <xf numFmtId="0" fontId="25" fillId="2" borderId="10" xfId="0" applyFont="1" applyFill="1" applyBorder="1" applyAlignment="1" applyProtection="1">
      <alignment horizontal="left" vertical="center"/>
    </xf>
    <xf numFmtId="0" fontId="25" fillId="2" borderId="11" xfId="0" applyFont="1" applyFill="1" applyBorder="1" applyAlignment="1" applyProtection="1">
      <alignment horizontal="left" vertical="center"/>
    </xf>
    <xf numFmtId="0" fontId="10" fillId="4" borderId="39" xfId="0" applyFont="1" applyFill="1" applyBorder="1" applyAlignment="1" applyProtection="1">
      <alignment horizontal="left" vertical="center"/>
      <protection locked="0"/>
    </xf>
    <xf numFmtId="0" fontId="10" fillId="4" borderId="40" xfId="0" applyFont="1" applyFill="1" applyBorder="1" applyAlignment="1" applyProtection="1">
      <alignment horizontal="left" vertical="center"/>
      <protection locked="0"/>
    </xf>
    <xf numFmtId="0" fontId="8" fillId="7" borderId="10" xfId="0" applyFont="1" applyFill="1" applyBorder="1" applyAlignment="1" applyProtection="1">
      <alignment horizontal="center" vertical="center"/>
    </xf>
    <xf numFmtId="0" fontId="8" fillId="7" borderId="11" xfId="0" applyFont="1" applyFill="1" applyBorder="1" applyAlignment="1" applyProtection="1">
      <alignment horizontal="center" vertical="center"/>
    </xf>
    <xf numFmtId="0" fontId="8" fillId="7" borderId="32" xfId="0" applyFont="1" applyFill="1" applyBorder="1" applyAlignment="1" applyProtection="1">
      <alignment horizontal="center" vertical="center"/>
    </xf>
    <xf numFmtId="0" fontId="20" fillId="6" borderId="2" xfId="0" applyFont="1" applyFill="1" applyBorder="1" applyAlignment="1" applyProtection="1">
      <alignment horizontal="right" vertical="center"/>
    </xf>
    <xf numFmtId="0" fontId="20" fillId="6" borderId="3" xfId="0" applyFont="1" applyFill="1" applyBorder="1" applyAlignment="1" applyProtection="1">
      <alignment horizontal="right" vertical="center"/>
    </xf>
    <xf numFmtId="0" fontId="2" fillId="7" borderId="4" xfId="0" applyFont="1" applyFill="1" applyBorder="1" applyAlignment="1" applyProtection="1">
      <alignment horizontal="center" vertical="center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30" xfId="0" applyFont="1" applyFill="1" applyBorder="1" applyAlignment="1" applyProtection="1">
      <alignment horizontal="center" vertical="center"/>
    </xf>
    <xf numFmtId="0" fontId="8" fillId="7" borderId="39" xfId="0" applyFont="1" applyFill="1" applyBorder="1" applyAlignment="1" applyProtection="1">
      <alignment horizontal="center" vertical="center"/>
    </xf>
    <xf numFmtId="0" fontId="8" fillId="7" borderId="40" xfId="0" applyFont="1" applyFill="1" applyBorder="1" applyAlignment="1" applyProtection="1">
      <alignment horizontal="center" vertical="center"/>
    </xf>
    <xf numFmtId="0" fontId="8" fillId="7" borderId="41" xfId="0" applyFont="1" applyFill="1" applyBorder="1" applyAlignment="1" applyProtection="1">
      <alignment horizontal="center" vertical="center"/>
    </xf>
    <xf numFmtId="0" fontId="8" fillId="7" borderId="4" xfId="0" applyFont="1" applyFill="1" applyBorder="1" applyAlignment="1" applyProtection="1">
      <alignment horizontal="center" vertical="center"/>
    </xf>
    <xf numFmtId="0" fontId="8" fillId="7" borderId="5" xfId="0" applyFont="1" applyFill="1" applyBorder="1" applyAlignment="1" applyProtection="1">
      <alignment horizontal="center" vertical="center"/>
    </xf>
    <xf numFmtId="0" fontId="8" fillId="7" borderId="30" xfId="0" applyFont="1" applyFill="1" applyBorder="1" applyAlignment="1" applyProtection="1">
      <alignment horizontal="center" vertical="center"/>
    </xf>
    <xf numFmtId="49" fontId="10" fillId="5" borderId="10" xfId="0" applyNumberFormat="1" applyFont="1" applyFill="1" applyBorder="1" applyAlignment="1" applyProtection="1">
      <alignment horizontal="center" vertical="center"/>
    </xf>
    <xf numFmtId="49" fontId="10" fillId="5" borderId="11" xfId="0" applyNumberFormat="1" applyFont="1" applyFill="1" applyBorder="1" applyAlignment="1" applyProtection="1">
      <alignment horizontal="center" vertical="center"/>
    </xf>
    <xf numFmtId="49" fontId="17" fillId="5" borderId="10" xfId="0" applyNumberFormat="1" applyFont="1" applyFill="1" applyBorder="1" applyAlignment="1" applyProtection="1">
      <alignment horizontal="center" vertical="center"/>
    </xf>
    <xf numFmtId="49" fontId="17" fillId="5" borderId="11" xfId="0" applyNumberFormat="1" applyFont="1" applyFill="1" applyBorder="1" applyAlignment="1" applyProtection="1">
      <alignment horizontal="center" vertical="center"/>
    </xf>
    <xf numFmtId="49" fontId="17" fillId="5" borderId="20" xfId="0" applyNumberFormat="1" applyFont="1" applyFill="1" applyBorder="1" applyAlignment="1" applyProtection="1">
      <alignment horizontal="center" vertical="center"/>
    </xf>
    <xf numFmtId="49" fontId="17" fillId="5" borderId="21" xfId="0" applyNumberFormat="1" applyFont="1" applyFill="1" applyBorder="1" applyAlignment="1" applyProtection="1">
      <alignment horizontal="center" vertical="center"/>
    </xf>
    <xf numFmtId="165" fontId="4" fillId="3" borderId="1" xfId="0" applyNumberFormat="1" applyFont="1" applyFill="1" applyBorder="1" applyAlignment="1" applyProtection="1">
      <alignment horizontal="center" vertical="center"/>
      <protection locked="0"/>
    </xf>
    <xf numFmtId="165" fontId="4" fillId="3" borderId="2" xfId="0" applyNumberFormat="1" applyFont="1" applyFill="1" applyBorder="1" applyAlignment="1" applyProtection="1">
      <alignment horizontal="center" vertical="center"/>
      <protection locked="0"/>
    </xf>
    <xf numFmtId="165" fontId="4" fillId="3" borderId="3" xfId="0" applyNumberFormat="1" applyFont="1" applyFill="1" applyBorder="1" applyAlignment="1" applyProtection="1">
      <alignment horizontal="center" vertical="center"/>
      <protection locked="0"/>
    </xf>
    <xf numFmtId="166" fontId="8" fillId="4" borderId="4" xfId="0" applyNumberFormat="1" applyFont="1" applyFill="1" applyBorder="1" applyAlignment="1" applyProtection="1">
      <alignment horizontal="center" vertical="center"/>
    </xf>
    <xf numFmtId="166" fontId="8" fillId="4" borderId="5" xfId="0" applyNumberFormat="1" applyFont="1" applyFill="1" applyBorder="1" applyAlignment="1" applyProtection="1">
      <alignment horizontal="center" vertical="center"/>
    </xf>
    <xf numFmtId="166" fontId="8" fillId="4" borderId="10" xfId="0" applyNumberFormat="1" applyFont="1" applyFill="1" applyBorder="1" applyAlignment="1" applyProtection="1">
      <alignment horizontal="center" vertical="center"/>
    </xf>
    <xf numFmtId="166" fontId="8" fillId="4" borderId="11" xfId="0" applyNumberFormat="1" applyFont="1" applyFill="1" applyBorder="1" applyAlignment="1" applyProtection="1">
      <alignment horizontal="center" vertical="center"/>
    </xf>
    <xf numFmtId="168" fontId="8" fillId="4" borderId="10" xfId="0" applyNumberFormat="1" applyFont="1" applyFill="1" applyBorder="1" applyAlignment="1" applyProtection="1">
      <alignment horizontal="center" vertical="center"/>
    </xf>
    <xf numFmtId="168" fontId="8" fillId="4" borderId="11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3;&#1056;&#1040;&#1060;&#1048;&#1050;%20&#1050;&#1040;&#1057;&#1057;&#1040;%20&#1080;&#1102;&#1083;&#1100;%202015!!!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69;&#1051;&#1045;&#1050;&#1058;&#1056;&#1054;&#1053;&#1053;&#1067;&#1049;%20&#1054;&#1058;&#1063;&#1025;&#1058;%20&#1044;&#1048;&#1057;&#1055;&#1045;&#1058;&#1063;&#1045;&#1056;&#1054;&#1042;%20!!!!!!!!!!!!\&#1054;&#1090;&#1095;&#1105;&#1090;%20&#1076;&#1080;&#1089;&#1087;&#1077;&#1090;&#1095;&#1077;&#1088;&#1086;&#1074;%2025&#1080;&#1102;&#1085;&#1100;_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69;&#1051;&#1045;&#1050;&#1058;&#1056;&#1054;&#1053;&#1053;&#1067;&#1049;%20&#1054;&#1058;&#1063;&#1025;&#1058;%20&#1044;&#1048;&#1057;&#1055;&#1045;&#1058;&#1063;&#1045;&#1056;&#1054;&#1042;%20!!!!!!!!!!!!\&#1054;&#1090;&#1095;&#1105;&#1090;%20&#1076;&#1080;&#1089;&#1087;&#1077;&#1090;&#1095;&#1077;&#1088;&#1086;&#1074;%20&#1089;%2019%20&#1085;&#1072;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3;&#1056;&#1040;&#1060;&#1048;&#1050;%20&#1050;&#1040;&#1057;&#1057;&#1040;%20&#1089;&#1077;&#1085;&#1090;&#1103;&#1073;&#1088;&#1100;%202015!!!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7"/>
      <sheetName val="02.07"/>
      <sheetName val="03.07"/>
      <sheetName val="04.07"/>
      <sheetName val="05.07"/>
      <sheetName val="06.07"/>
      <sheetName val="07.07"/>
      <sheetName val="08.07"/>
      <sheetName val="09.07"/>
      <sheetName val="10.07"/>
      <sheetName val="11.07"/>
      <sheetName val="12.07"/>
      <sheetName val="13.07"/>
      <sheetName val="14.07"/>
      <sheetName val="15.07"/>
      <sheetName val="16.07"/>
      <sheetName val="17.07"/>
      <sheetName val="18.07"/>
      <sheetName val="19.07"/>
      <sheetName val="20.07"/>
      <sheetName val="21.07"/>
      <sheetName val="22.07"/>
      <sheetName val="23.07"/>
      <sheetName val="24.07"/>
      <sheetName val="25.07"/>
      <sheetName val="26.07"/>
      <sheetName val="27.07"/>
      <sheetName val="28.07"/>
      <sheetName val="29.07"/>
      <sheetName val="30.07"/>
      <sheetName val="31.07"/>
      <sheetName val="образец"/>
      <sheetName val="КОРОБОЧКА"/>
      <sheetName val="ДСП_свод"/>
      <sheetName val="ДСП_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40">
          <cell r="K40">
            <v>273.97260273972603</v>
          </cell>
        </row>
      </sheetData>
      <sheetData sheetId="33">
        <row r="2">
          <cell r="F2" t="str">
            <v>РАСХОД</v>
          </cell>
          <cell r="G2" t="str">
            <v>ПРИХОД</v>
          </cell>
        </row>
      </sheetData>
      <sheetData sheetId="34">
        <row r="4">
          <cell r="C4" t="str">
            <v>Баранов Андрей Михайлович</v>
          </cell>
          <cell r="E4" t="str">
            <v>11 (Х 258 КН 77)</v>
          </cell>
        </row>
        <row r="5">
          <cell r="C5" t="str">
            <v>Баранова Татьяна Викторовна</v>
          </cell>
          <cell r="E5" t="str">
            <v>12 (УН 901 77)</v>
          </cell>
        </row>
        <row r="6">
          <cell r="E6" t="str">
            <v>13 (М 169 КР 77)</v>
          </cell>
        </row>
        <row r="7">
          <cell r="C7" t="str">
            <v>Михайлин Василий Сергеевич</v>
          </cell>
          <cell r="E7" t="str">
            <v>14 (Е 025 УМ 77)</v>
          </cell>
        </row>
        <row r="8">
          <cell r="E8" t="str">
            <v>16 (Е 063 НА 77)</v>
          </cell>
        </row>
        <row r="9">
          <cell r="C9" t="str">
            <v>Пилипенко Валерий Николаевич</v>
          </cell>
          <cell r="E9" t="str">
            <v>17 (В 691 АК 777)</v>
          </cell>
        </row>
        <row r="10">
          <cell r="E10" t="str">
            <v>18 (В 649 УТ 77)</v>
          </cell>
        </row>
        <row r="11">
          <cell r="E11" t="str">
            <v>19 (У 399 КН 77)</v>
          </cell>
        </row>
        <row r="12">
          <cell r="E12" t="str">
            <v xml:space="preserve">22 (О 022 УА 77) </v>
          </cell>
        </row>
        <row r="13">
          <cell r="C13" t="str">
            <v>Шейкин Денис Михайлович</v>
          </cell>
          <cell r="E13" t="str">
            <v>23 (МА 304 77)</v>
          </cell>
        </row>
        <row r="14">
          <cell r="C14" t="str">
            <v xml:space="preserve">Баранов Михаил </v>
          </cell>
          <cell r="E14" t="str">
            <v>24 (МА 241 77)</v>
          </cell>
        </row>
        <row r="15">
          <cell r="C15" t="str">
            <v>Андронов Денис</v>
          </cell>
          <cell r="E15" t="str">
            <v>25 (МА 339 77)</v>
          </cell>
        </row>
        <row r="16">
          <cell r="C16" t="str">
            <v xml:space="preserve">Фарисеев Вадим </v>
          </cell>
          <cell r="E16" t="str">
            <v>26 (МА 340 77)</v>
          </cell>
        </row>
        <row r="17">
          <cell r="C17" t="str">
            <v>Гунин Александр</v>
          </cell>
          <cell r="E17" t="str">
            <v>28 (МА 478 77)</v>
          </cell>
        </row>
        <row r="18">
          <cell r="C18" t="str">
            <v>Катугина Маргарита</v>
          </cell>
          <cell r="E18" t="str">
            <v>29 (МА 629 77)</v>
          </cell>
        </row>
        <row r="19">
          <cell r="C19" t="str">
            <v>Еренбург Елена</v>
          </cell>
          <cell r="E19" t="str">
            <v>31 (МА 604 77)</v>
          </cell>
        </row>
        <row r="20">
          <cell r="C20" t="str">
            <v>Стельмах Светлана</v>
          </cell>
          <cell r="E20" t="str">
            <v>32 (МА 704 77)</v>
          </cell>
        </row>
        <row r="21">
          <cell r="C21" t="str">
            <v>Онищенко Кристина</v>
          </cell>
          <cell r="E21" t="str">
            <v>33 (МА 705 77)</v>
          </cell>
        </row>
        <row r="22">
          <cell r="C22" t="str">
            <v>Макарова Юлия</v>
          </cell>
          <cell r="E22" t="str">
            <v>34 (МА 832 77)</v>
          </cell>
        </row>
        <row r="23">
          <cell r="C23" t="str">
            <v>Самойлова Марина</v>
          </cell>
          <cell r="E23" t="str">
            <v>35 (МА 817 77)</v>
          </cell>
        </row>
        <row r="24">
          <cell r="C24" t="str">
            <v>Калинина Елена</v>
          </cell>
          <cell r="E24" t="str">
            <v>36 (МА 819 77)</v>
          </cell>
        </row>
        <row r="25">
          <cell r="C25" t="str">
            <v>Пимкина Наталья</v>
          </cell>
          <cell r="E25" t="str">
            <v>37 (МА 915 77)</v>
          </cell>
        </row>
        <row r="26">
          <cell r="C26" t="str">
            <v>Герасименко Галина</v>
          </cell>
          <cell r="E26" t="str">
            <v>38 (МА 916 77)</v>
          </cell>
        </row>
        <row r="27">
          <cell r="C27" t="str">
            <v>Яценко Елена</v>
          </cell>
          <cell r="E27" t="str">
            <v>39 (МЕ 249 77)</v>
          </cell>
        </row>
        <row r="28">
          <cell r="C28" t="str">
            <v>Сидорова Марина</v>
          </cell>
          <cell r="E28" t="str">
            <v>41 (МЕ 250 77)</v>
          </cell>
        </row>
        <row r="29">
          <cell r="C29" t="str">
            <v>Алексеенкова Елена</v>
          </cell>
          <cell r="E29" t="str">
            <v>42 (МЕ 248 77)</v>
          </cell>
        </row>
        <row r="30">
          <cell r="E30" t="str">
            <v>43 (МЕ 326 77)</v>
          </cell>
        </row>
        <row r="31">
          <cell r="E31" t="str">
            <v>44 (МЕ 327 77)</v>
          </cell>
        </row>
        <row r="33">
          <cell r="C33" t="str">
            <v>Абдулаев Таджимурат</v>
          </cell>
        </row>
        <row r="34">
          <cell r="C34" t="str">
            <v>Алейников Дмитрий</v>
          </cell>
        </row>
        <row r="35">
          <cell r="C35" t="str">
            <v>Алиев Абдуллабек</v>
          </cell>
        </row>
        <row r="36">
          <cell r="C36" t="str">
            <v>Алиев Абдулнасир</v>
          </cell>
        </row>
        <row r="37">
          <cell r="C37" t="str">
            <v>Агиев Адам</v>
          </cell>
        </row>
        <row r="38">
          <cell r="C38" t="str">
            <v xml:space="preserve">Алтухов Виталий </v>
          </cell>
        </row>
        <row r="39">
          <cell r="C39" t="str">
            <v xml:space="preserve">Алыбаев Долеткельд </v>
          </cell>
        </row>
        <row r="40">
          <cell r="C40" t="str">
            <v>Аникина Ирина</v>
          </cell>
        </row>
        <row r="41">
          <cell r="C41" t="str">
            <v>Анисимов Олег</v>
          </cell>
        </row>
        <row r="42">
          <cell r="C42" t="str">
            <v>Багов Азамат</v>
          </cell>
        </row>
        <row r="43">
          <cell r="C43" t="str">
            <v xml:space="preserve">Бажин Алексей </v>
          </cell>
        </row>
        <row r="44">
          <cell r="C44" t="str">
            <v xml:space="preserve">Балук Андрей </v>
          </cell>
        </row>
        <row r="45">
          <cell r="C45" t="str">
            <v>Баранов Алексей</v>
          </cell>
        </row>
        <row r="46">
          <cell r="C46" t="str">
            <v xml:space="preserve">Баранов Михаил </v>
          </cell>
        </row>
        <row r="47">
          <cell r="C47" t="str">
            <v>Белобородов Александр</v>
          </cell>
        </row>
        <row r="48">
          <cell r="C48" t="str">
            <v>Богданчиков Валерий</v>
          </cell>
        </row>
        <row r="49">
          <cell r="C49" t="str">
            <v>Богоявлинская Наталья</v>
          </cell>
        </row>
        <row r="50">
          <cell r="C50" t="str">
            <v>Боквинов Ринат</v>
          </cell>
        </row>
        <row r="51">
          <cell r="C51" t="str">
            <v>Бондарь Василий</v>
          </cell>
        </row>
        <row r="52">
          <cell r="C52" t="str">
            <v xml:space="preserve">Борисов Алексей </v>
          </cell>
        </row>
        <row r="53">
          <cell r="C53" t="str">
            <v>Борисов Никита</v>
          </cell>
        </row>
        <row r="54">
          <cell r="C54" t="str">
            <v xml:space="preserve">Бугаков Алексей </v>
          </cell>
        </row>
        <row r="55">
          <cell r="C55" t="str">
            <v xml:space="preserve">Буряченко Олег </v>
          </cell>
        </row>
        <row r="56">
          <cell r="C56" t="str">
            <v xml:space="preserve">Бычков Анатолий </v>
          </cell>
        </row>
        <row r="57">
          <cell r="C57" t="str">
            <v>Вавилкин Владимир</v>
          </cell>
        </row>
        <row r="58">
          <cell r="C58" t="str">
            <v>Василевскис Андрейс</v>
          </cell>
        </row>
        <row r="59">
          <cell r="C59" t="str">
            <v xml:space="preserve">Виленский Анатолий </v>
          </cell>
        </row>
        <row r="60">
          <cell r="C60" t="str">
            <v>Вильямсен Надежда</v>
          </cell>
        </row>
        <row r="61">
          <cell r="C61" t="str">
            <v xml:space="preserve">Власов Иван </v>
          </cell>
        </row>
        <row r="62">
          <cell r="C62" t="str">
            <v>Воздвиженский Иван</v>
          </cell>
        </row>
        <row r="63">
          <cell r="C63" t="str">
            <v xml:space="preserve">Воронин Андрей </v>
          </cell>
        </row>
        <row r="64">
          <cell r="C64" t="str">
            <v xml:space="preserve">Гайдук Владимир </v>
          </cell>
        </row>
        <row r="65">
          <cell r="C65" t="str">
            <v xml:space="preserve">Гарсов Ибрагим </v>
          </cell>
        </row>
        <row r="66">
          <cell r="C66" t="str">
            <v xml:space="preserve">Гарькавый Иван </v>
          </cell>
        </row>
        <row r="67">
          <cell r="C67" t="str">
            <v>Гетманцев Алексей</v>
          </cell>
        </row>
        <row r="68">
          <cell r="C68" t="str">
            <v>Гладышев Сергей</v>
          </cell>
        </row>
        <row r="69">
          <cell r="C69" t="str">
            <v xml:space="preserve">Глунцов Борис </v>
          </cell>
        </row>
        <row r="70">
          <cell r="C70" t="str">
            <v>Гнетов Александр</v>
          </cell>
        </row>
        <row r="71">
          <cell r="C71" t="str">
            <v>Давлетов Джаганхир</v>
          </cell>
        </row>
        <row r="72">
          <cell r="C72" t="str">
            <v>Данилов Владлен</v>
          </cell>
        </row>
        <row r="73">
          <cell r="C73" t="str">
            <v>Демченко Алексей</v>
          </cell>
        </row>
        <row r="74">
          <cell r="C74" t="str">
            <v xml:space="preserve">Денисов Андрей </v>
          </cell>
        </row>
        <row r="75">
          <cell r="C75" t="str">
            <v>Джумалиер Бахтияр</v>
          </cell>
        </row>
        <row r="76">
          <cell r="C76" t="str">
            <v xml:space="preserve">Дмитриев Андрей </v>
          </cell>
        </row>
        <row r="77">
          <cell r="C77" t="str">
            <v>Дубцов Алексей</v>
          </cell>
        </row>
        <row r="78">
          <cell r="C78" t="str">
            <v>Дрябжинский Сергей</v>
          </cell>
        </row>
        <row r="79">
          <cell r="C79" t="str">
            <v>Евграфов Евгений</v>
          </cell>
        </row>
        <row r="80">
          <cell r="C80" t="str">
            <v xml:space="preserve">Евсеенков Евгений </v>
          </cell>
        </row>
        <row r="81">
          <cell r="C81" t="str">
            <v>Ершов Василий</v>
          </cell>
        </row>
        <row r="82">
          <cell r="C82" t="str">
            <v>Ефимов Владислав</v>
          </cell>
        </row>
        <row r="83">
          <cell r="C83" t="str">
            <v>Жапар Уулу Руслан</v>
          </cell>
        </row>
        <row r="84">
          <cell r="C84" t="str">
            <v xml:space="preserve">Зыков Илья </v>
          </cell>
        </row>
        <row r="85">
          <cell r="C85" t="str">
            <v>Иминов Шерзод</v>
          </cell>
        </row>
        <row r="86">
          <cell r="C86" t="str">
            <v>Исаков Санжарбек</v>
          </cell>
        </row>
        <row r="87">
          <cell r="C87" t="str">
            <v>Кайль Андрей</v>
          </cell>
        </row>
        <row r="88">
          <cell r="C88" t="str">
            <v xml:space="preserve">Кабаев Александр </v>
          </cell>
        </row>
        <row r="89">
          <cell r="C89" t="str">
            <v>Кадыралиев Эрот</v>
          </cell>
        </row>
        <row r="90">
          <cell r="C90" t="str">
            <v>Каратевский Владимир</v>
          </cell>
        </row>
        <row r="91">
          <cell r="C91" t="str">
            <v xml:space="preserve">Карпухин Юрий </v>
          </cell>
        </row>
        <row r="92">
          <cell r="C92" t="str">
            <v xml:space="preserve">Касьянов Владимир </v>
          </cell>
        </row>
        <row r="93">
          <cell r="C93" t="str">
            <v>Кабылов Саматбек</v>
          </cell>
        </row>
        <row r="94">
          <cell r="C94" t="str">
            <v xml:space="preserve">Кимчазов Марат </v>
          </cell>
        </row>
        <row r="95">
          <cell r="C95" t="str">
            <v xml:space="preserve">Климов Никита </v>
          </cell>
        </row>
        <row r="96">
          <cell r="C96" t="str">
            <v>Ковалев Виктор</v>
          </cell>
        </row>
        <row r="97">
          <cell r="C97" t="str">
            <v>Ковалевский Константин</v>
          </cell>
        </row>
        <row r="98">
          <cell r="C98" t="str">
            <v xml:space="preserve">Козлов Андрей </v>
          </cell>
        </row>
        <row r="99">
          <cell r="C99" t="str">
            <v xml:space="preserve">Кочкин Костя </v>
          </cell>
        </row>
        <row r="100">
          <cell r="C100" t="str">
            <v>Кравченко Дмитрий</v>
          </cell>
        </row>
        <row r="101">
          <cell r="C101" t="str">
            <v xml:space="preserve">Криволап Олег </v>
          </cell>
        </row>
        <row r="102">
          <cell r="C102" t="str">
            <v xml:space="preserve">Криворучко Егор </v>
          </cell>
        </row>
        <row r="103">
          <cell r="C103" t="str">
            <v>Крылов Михаил</v>
          </cell>
        </row>
        <row r="104">
          <cell r="C104" t="str">
            <v>Кудряшов Александр</v>
          </cell>
        </row>
        <row r="105">
          <cell r="C105" t="str">
            <v>Кузнецов Евгений</v>
          </cell>
        </row>
        <row r="106">
          <cell r="C106" t="str">
            <v>Кулаков Максим</v>
          </cell>
        </row>
        <row r="107">
          <cell r="C107" t="str">
            <v xml:space="preserve">Купцов Андрей </v>
          </cell>
        </row>
        <row r="108">
          <cell r="C108" t="str">
            <v>Курбанов Евгений</v>
          </cell>
        </row>
        <row r="109">
          <cell r="C109" t="str">
            <v>Курочкин Артем</v>
          </cell>
        </row>
        <row r="110">
          <cell r="C110" t="str">
            <v xml:space="preserve">Кучмезов Марат </v>
          </cell>
        </row>
        <row r="111">
          <cell r="C111" t="str">
            <v>Лемешко Роман</v>
          </cell>
        </row>
        <row r="112">
          <cell r="C112" t="str">
            <v xml:space="preserve">Магомедов Сергей </v>
          </cell>
        </row>
        <row r="113">
          <cell r="C113" t="str">
            <v>Мазукаев Идрис</v>
          </cell>
        </row>
        <row r="114">
          <cell r="C114" t="str">
            <v>Малаканов Артем</v>
          </cell>
        </row>
        <row r="115">
          <cell r="C115" t="str">
            <v>Малик Милан</v>
          </cell>
        </row>
        <row r="116">
          <cell r="C116" t="str">
            <v xml:space="preserve">Малыхин Влад </v>
          </cell>
        </row>
        <row r="117">
          <cell r="C117" t="str">
            <v>Матвеенко Роман</v>
          </cell>
        </row>
        <row r="118">
          <cell r="C118" t="str">
            <v xml:space="preserve">Мозговой Роман </v>
          </cell>
        </row>
        <row r="119">
          <cell r="C119" t="str">
            <v>Молостов Павел</v>
          </cell>
        </row>
        <row r="120">
          <cell r="C120" t="str">
            <v>Морозов Игорь</v>
          </cell>
        </row>
        <row r="121">
          <cell r="C121" t="str">
            <v>Мурзак Михаил</v>
          </cell>
        </row>
        <row r="122">
          <cell r="C122" t="str">
            <v xml:space="preserve">Мушкетеров Павел </v>
          </cell>
        </row>
        <row r="123">
          <cell r="C123" t="str">
            <v xml:space="preserve">Новожилов Сергей </v>
          </cell>
        </row>
        <row r="124">
          <cell r="C124" t="str">
            <v>Нурмухаммадиев Роман</v>
          </cell>
        </row>
        <row r="125">
          <cell r="C125" t="str">
            <v>Нуртдинов Эльдар</v>
          </cell>
        </row>
        <row r="126">
          <cell r="C126" t="str">
            <v xml:space="preserve">Орешин Иван </v>
          </cell>
        </row>
        <row r="127">
          <cell r="C127" t="str">
            <v xml:space="preserve">Орозматов Суйумек </v>
          </cell>
        </row>
        <row r="128">
          <cell r="C128" t="str">
            <v xml:space="preserve">Пливак Сергей </v>
          </cell>
        </row>
        <row r="129">
          <cell r="C129" t="str">
            <v xml:space="preserve">Погирейчик Роман </v>
          </cell>
        </row>
        <row r="130">
          <cell r="C130" t="str">
            <v>Погудин Константин</v>
          </cell>
        </row>
        <row r="131">
          <cell r="C131" t="str">
            <v>Подорский Алексей</v>
          </cell>
        </row>
        <row r="132">
          <cell r="C132" t="str">
            <v>Поляев Алексей</v>
          </cell>
        </row>
        <row r="133">
          <cell r="C133" t="str">
            <v>Поняев Александр</v>
          </cell>
        </row>
        <row r="134">
          <cell r="C134" t="str">
            <v>Попов Евгений</v>
          </cell>
        </row>
        <row r="135">
          <cell r="C135" t="str">
            <v>Попов ЮРИЙ</v>
          </cell>
        </row>
        <row r="136">
          <cell r="C136" t="str">
            <v>Посашков Сергей</v>
          </cell>
        </row>
        <row r="137">
          <cell r="C137" t="str">
            <v xml:space="preserve">Прибыльский Леонид </v>
          </cell>
        </row>
        <row r="138">
          <cell r="C138" t="str">
            <v xml:space="preserve">Пузанов Александр </v>
          </cell>
        </row>
        <row r="139">
          <cell r="C139" t="str">
            <v xml:space="preserve">Ракитин Владимир </v>
          </cell>
        </row>
        <row r="140">
          <cell r="C140" t="str">
            <v>Расулов Хусан</v>
          </cell>
        </row>
        <row r="141">
          <cell r="C141" t="str">
            <v xml:space="preserve">Резин Игорь </v>
          </cell>
        </row>
        <row r="142">
          <cell r="C142" t="str">
            <v xml:space="preserve">Романов Роман </v>
          </cell>
        </row>
        <row r="143">
          <cell r="C143" t="str">
            <v xml:space="preserve">Руденко Николай </v>
          </cell>
        </row>
        <row r="144">
          <cell r="C144" t="str">
            <v xml:space="preserve">Рындин Алексей </v>
          </cell>
        </row>
        <row r="145">
          <cell r="C145" t="str">
            <v xml:space="preserve">Рязанов Руслан </v>
          </cell>
        </row>
        <row r="146">
          <cell r="C146" t="str">
            <v xml:space="preserve">Садаков Степан </v>
          </cell>
        </row>
        <row r="147">
          <cell r="C147" t="str">
            <v>Сивохин Александр</v>
          </cell>
        </row>
        <row r="148">
          <cell r="C148" t="str">
            <v>Сизунов Александр</v>
          </cell>
        </row>
        <row r="149">
          <cell r="C149" t="str">
            <v>Симанов Виктор</v>
          </cell>
        </row>
        <row r="150">
          <cell r="C150" t="str">
            <v xml:space="preserve">Соколов Василий </v>
          </cell>
        </row>
        <row r="151">
          <cell r="C151" t="str">
            <v xml:space="preserve">Сосновский Вячеслав </v>
          </cell>
        </row>
        <row r="152">
          <cell r="C152" t="str">
            <v>Стародубцев Александр</v>
          </cell>
        </row>
        <row r="153">
          <cell r="C153" t="str">
            <v xml:space="preserve">Степков Саша </v>
          </cell>
        </row>
        <row r="154">
          <cell r="C154" t="str">
            <v xml:space="preserve">Суворкин Игорь </v>
          </cell>
        </row>
        <row r="155">
          <cell r="C155" t="str">
            <v xml:space="preserve">Сундуков Хаути </v>
          </cell>
        </row>
        <row r="156">
          <cell r="C156" t="str">
            <v>Сусловский Вячеслав</v>
          </cell>
        </row>
        <row r="157">
          <cell r="C157" t="str">
            <v xml:space="preserve">Сычев Дмитрий </v>
          </cell>
        </row>
        <row r="158">
          <cell r="C158" t="str">
            <v>Теленков Алексей</v>
          </cell>
        </row>
        <row r="159">
          <cell r="C159" t="str">
            <v>Тиванов Сергей</v>
          </cell>
        </row>
        <row r="160">
          <cell r="C160" t="str">
            <v>Тимошина Евгения</v>
          </cell>
        </row>
        <row r="161">
          <cell r="C161" t="str">
            <v>Токторбаев Алтынбек</v>
          </cell>
        </row>
        <row r="162">
          <cell r="C162" t="str">
            <v xml:space="preserve">Трошенков Андрей </v>
          </cell>
        </row>
        <row r="163">
          <cell r="C163" t="str">
            <v>Устьянцев Владислав</v>
          </cell>
        </row>
        <row r="164">
          <cell r="C164" t="str">
            <v>Фадеев Дмитрий</v>
          </cell>
        </row>
        <row r="165">
          <cell r="C165" t="str">
            <v xml:space="preserve">Федоров Виктор </v>
          </cell>
        </row>
        <row r="166">
          <cell r="C166" t="str">
            <v xml:space="preserve">Хацкевич Виктор </v>
          </cell>
        </row>
        <row r="167">
          <cell r="C167" t="str">
            <v>Храпков Андрей</v>
          </cell>
        </row>
        <row r="168">
          <cell r="C168" t="str">
            <v>Хабаров Илья</v>
          </cell>
        </row>
        <row r="169">
          <cell r="C169" t="str">
            <v xml:space="preserve">Хрунин Илья </v>
          </cell>
        </row>
        <row r="170">
          <cell r="C170" t="str">
            <v>Цырендоржиев Жаргал</v>
          </cell>
        </row>
        <row r="171">
          <cell r="C171" t="str">
            <v xml:space="preserve">Чебанов Михаил </v>
          </cell>
        </row>
        <row r="172">
          <cell r="C172" t="str">
            <v>Чепайкин Павел</v>
          </cell>
        </row>
        <row r="173">
          <cell r="C173" t="str">
            <v xml:space="preserve">Чернов Александр </v>
          </cell>
        </row>
        <row r="174">
          <cell r="C174" t="str">
            <v xml:space="preserve">Чернышов Антон </v>
          </cell>
        </row>
        <row r="175">
          <cell r="C175" t="str">
            <v>Чугунов Дмитрий</v>
          </cell>
        </row>
        <row r="176">
          <cell r="C176" t="str">
            <v>Шалаев Олег</v>
          </cell>
        </row>
        <row r="177">
          <cell r="C177" t="str">
            <v>Шамилов Магомед</v>
          </cell>
        </row>
        <row r="178">
          <cell r="C178" t="str">
            <v>Шаповалов Сергей</v>
          </cell>
        </row>
        <row r="179">
          <cell r="C179" t="str">
            <v>Шарапов Константин</v>
          </cell>
        </row>
        <row r="180">
          <cell r="C180" t="str">
            <v xml:space="preserve">Шарыгин Олег </v>
          </cell>
        </row>
        <row r="181">
          <cell r="C181" t="str">
            <v>Шашкин Александр</v>
          </cell>
        </row>
        <row r="182">
          <cell r="C182" t="str">
            <v xml:space="preserve">Шеломенцев Олег </v>
          </cell>
        </row>
        <row r="183">
          <cell r="C183" t="str">
            <v xml:space="preserve">Шибанов Александр </v>
          </cell>
        </row>
        <row r="184">
          <cell r="C184" t="str">
            <v xml:space="preserve">Широков Александр </v>
          </cell>
        </row>
        <row r="185">
          <cell r="C185" t="str">
            <v>Шиянов Василий</v>
          </cell>
        </row>
        <row r="186">
          <cell r="C186" t="str">
            <v xml:space="preserve">Шмыков Михайл </v>
          </cell>
        </row>
        <row r="187">
          <cell r="C187" t="str">
            <v xml:space="preserve">Штарев Сергей </v>
          </cell>
        </row>
        <row r="188">
          <cell r="C188" t="str">
            <v xml:space="preserve">Щекочихин Александр </v>
          </cell>
        </row>
        <row r="189">
          <cell r="C189" t="str">
            <v xml:space="preserve">Щепетков Владислав </v>
          </cell>
        </row>
        <row r="190">
          <cell r="C190" t="str">
            <v>Щетина Александр</v>
          </cell>
        </row>
        <row r="191">
          <cell r="C191" t="str">
            <v xml:space="preserve">Якунов Юрий </v>
          </cell>
        </row>
        <row r="192">
          <cell r="C192" t="str">
            <v xml:space="preserve">Яновский Виктор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СП"/>
    </sheetNames>
    <sheetDataSet>
      <sheetData sheetId="0">
        <row r="4">
          <cell r="B4" t="str">
            <v>Михайлин Василий</v>
          </cell>
          <cell r="E4" t="str">
            <v>40/60</v>
          </cell>
        </row>
        <row r="5">
          <cell r="E5" t="str">
            <v>45/55</v>
          </cell>
        </row>
        <row r="6">
          <cell r="E6" t="str">
            <v>50/50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иант дисп"/>
      <sheetName val="ОБРАЗЕЦ"/>
      <sheetName val="ДСП"/>
      <sheetName val="Лист ФП"/>
      <sheetName val="04.01"/>
      <sheetName val="05.01"/>
      <sheetName val="06.01"/>
      <sheetName val="07.01"/>
      <sheetName val="престиж"/>
    </sheetNames>
    <sheetDataSet>
      <sheetData sheetId="0" refreshError="1"/>
      <sheetData sheetId="1" refreshError="1"/>
      <sheetData sheetId="2">
        <row r="4">
          <cell r="E4" t="str">
            <v>40/60</v>
          </cell>
        </row>
        <row r="5">
          <cell r="B5" t="str">
            <v>Онищенко Кристина</v>
          </cell>
          <cell r="E5" t="str">
            <v>45/55</v>
          </cell>
        </row>
        <row r="6">
          <cell r="B6" t="str">
            <v>Еренбург Елена</v>
          </cell>
          <cell r="E6" t="str">
            <v>50/50</v>
          </cell>
        </row>
        <row r="7">
          <cell r="B7" t="str">
            <v>Пимкина Наталья</v>
          </cell>
        </row>
        <row r="8">
          <cell r="B8" t="str">
            <v>Савенкова Ирина</v>
          </cell>
        </row>
        <row r="9">
          <cell r="B9" t="str">
            <v>Харатян Нектарина</v>
          </cell>
        </row>
        <row r="10">
          <cell r="B10" t="str">
            <v>Консур Елизавета</v>
          </cell>
        </row>
        <row r="11">
          <cell r="B11" t="str">
            <v>Самойлова Марина Александровна</v>
          </cell>
        </row>
        <row r="12">
          <cell r="B12" t="str">
            <v>Чалая Виктория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9"/>
      <sheetName val="02.09"/>
      <sheetName val="03.09"/>
      <sheetName val="04.09 "/>
      <sheetName val="09.09"/>
      <sheetName val="10.09"/>
      <sheetName val="11.09"/>
      <sheetName val="12.09"/>
      <sheetName val="01.10"/>
      <sheetName val="05.09 "/>
      <sheetName val="06.09"/>
      <sheetName val="07.09"/>
      <sheetName val="08.09"/>
      <sheetName val="09.09 "/>
      <sheetName val="10.09 "/>
      <sheetName val="11.09 "/>
      <sheetName val="12.09 "/>
      <sheetName val="13.09"/>
      <sheetName val="14.09"/>
      <sheetName val="15.09"/>
      <sheetName val="16.09"/>
      <sheetName val="17.09"/>
      <sheetName val="18.09"/>
      <sheetName val="19.09"/>
      <sheetName val="20.09"/>
      <sheetName val="21.09"/>
      <sheetName val="22.09"/>
      <sheetName val="23.09"/>
      <sheetName val="24.09"/>
      <sheetName val="25.09"/>
      <sheetName val="26.09"/>
      <sheetName val="27.09"/>
      <sheetName val="28.09"/>
      <sheetName val="29.09"/>
      <sheetName val="30.09"/>
      <sheetName val="КОРОБОЧКА"/>
      <sheetName val="образец"/>
      <sheetName val="ДСП_свод"/>
      <sheetName val="Лист1"/>
      <sheetName val="ДСП_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2">
          <cell r="F2" t="str">
            <v>РАСХОД</v>
          </cell>
          <cell r="G2" t="str">
            <v>ПРИХОД</v>
          </cell>
        </row>
      </sheetData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outlinePr summaryBelow="0" summaryRight="0"/>
  </sheetPr>
  <dimension ref="A1:FA314"/>
  <sheetViews>
    <sheetView tabSelected="1" zoomScale="90" zoomScaleNormal="90" workbookViewId="0">
      <pane xSplit="13" ySplit="12" topLeftCell="AS13" activePane="bottomRight" state="frozen"/>
      <selection pane="topRight" activeCell="N1" sqref="N1"/>
      <selection pane="bottomLeft" activeCell="A12" sqref="A12"/>
      <selection pane="bottomRight" activeCell="AS10" sqref="AS10"/>
    </sheetView>
  </sheetViews>
  <sheetFormatPr defaultRowHeight="12.75" outlineLevelRow="1" x14ac:dyDescent="0.2"/>
  <cols>
    <col min="1" max="1" width="1" style="1" customWidth="1"/>
    <col min="2" max="2" width="18.7109375" style="1" customWidth="1"/>
    <col min="3" max="3" width="8.85546875" style="1" customWidth="1"/>
    <col min="4" max="4" width="10" style="1" customWidth="1"/>
    <col min="5" max="5" width="10.28515625" style="1" customWidth="1"/>
    <col min="6" max="6" width="8.85546875" style="2" bestFit="1" customWidth="1"/>
    <col min="7" max="7" width="11.140625" style="2" customWidth="1"/>
    <col min="8" max="8" width="10" style="1" customWidth="1"/>
    <col min="9" max="9" width="7.42578125" style="1" customWidth="1"/>
    <col min="10" max="10" width="9.42578125" style="1" customWidth="1"/>
    <col min="11" max="11" width="8.28515625" style="1" customWidth="1"/>
    <col min="12" max="12" width="7.42578125" style="1" customWidth="1"/>
    <col min="13" max="13" width="12.5703125" style="1" customWidth="1"/>
    <col min="14" max="52" width="12.140625" style="1" customWidth="1"/>
    <col min="53" max="53" width="12.140625" style="1" hidden="1" customWidth="1"/>
    <col min="54" max="57" width="12.140625" style="1" customWidth="1"/>
    <col min="58" max="58" width="12.140625" style="1" hidden="1" customWidth="1"/>
    <col min="59" max="59" width="12.140625" style="1" customWidth="1"/>
    <col min="60" max="60" width="12.140625" style="1" hidden="1" customWidth="1"/>
    <col min="61" max="61" width="9.140625" style="1" customWidth="1"/>
    <col min="62" max="16384" width="9.140625" style="1"/>
  </cols>
  <sheetData>
    <row r="1" spans="1:61" ht="3" customHeight="1" thickBot="1" x14ac:dyDescent="0.25"/>
    <row r="2" spans="1:61" s="3" customFormat="1" ht="13.5" thickBot="1" x14ac:dyDescent="0.25">
      <c r="B2" s="4"/>
      <c r="C2" s="5"/>
      <c r="D2" s="5"/>
      <c r="E2" s="6"/>
      <c r="F2" s="7"/>
      <c r="G2" s="7"/>
      <c r="H2" s="6"/>
      <c r="I2" s="613" t="s">
        <v>0</v>
      </c>
      <c r="J2" s="614"/>
      <c r="K2" s="614"/>
      <c r="L2" s="614"/>
      <c r="M2" s="615"/>
      <c r="N2" s="8"/>
      <c r="O2" s="9"/>
      <c r="P2" s="10"/>
      <c r="Q2" s="11"/>
      <c r="R2" s="11"/>
      <c r="S2" s="11"/>
      <c r="T2" s="11"/>
      <c r="U2" s="9"/>
      <c r="V2" s="9"/>
      <c r="W2" s="9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8"/>
      <c r="AJ2" s="9"/>
      <c r="AK2" s="10"/>
      <c r="AL2" s="11"/>
      <c r="AM2" s="9"/>
      <c r="AN2" s="9"/>
      <c r="AO2" s="9"/>
      <c r="AP2" s="11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2"/>
    </row>
    <row r="3" spans="1:61" s="13" customFormat="1" ht="3" customHeight="1" thickBot="1" x14ac:dyDescent="0.25">
      <c r="B3" s="14"/>
      <c r="C3" s="14"/>
      <c r="D3" s="14"/>
      <c r="E3" s="14"/>
      <c r="F3" s="15"/>
      <c r="G3" s="15"/>
      <c r="H3" s="14"/>
      <c r="I3" s="14"/>
      <c r="J3" s="14"/>
      <c r="K3" s="14"/>
      <c r="L3" s="14"/>
      <c r="M3" s="14"/>
      <c r="N3" s="14">
        <f>IF(N14,1,0)</f>
        <v>0</v>
      </c>
      <c r="O3" s="14">
        <f>IF(O14,1,0)</f>
        <v>0</v>
      </c>
      <c r="P3" s="14">
        <f>IF(P14,1,0)</f>
        <v>0</v>
      </c>
      <c r="Q3" s="14">
        <f>IF(Q14,1,0)</f>
        <v>0</v>
      </c>
      <c r="R3" s="14"/>
      <c r="S3" s="14"/>
      <c r="T3" s="14"/>
      <c r="U3" s="14">
        <f>IF(U14,1,0)</f>
        <v>0</v>
      </c>
      <c r="V3" s="14">
        <f>IF(V14,1,0)</f>
        <v>0</v>
      </c>
      <c r="W3" s="14">
        <f>IF(W14,1,0)</f>
        <v>0</v>
      </c>
      <c r="X3" s="14">
        <f>IF(X14,1,0)</f>
        <v>0</v>
      </c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>
        <f t="shared" ref="AI3:BB3" si="0">IF(AI14,1,0)</f>
        <v>1</v>
      </c>
      <c r="AJ3" s="14">
        <f t="shared" si="0"/>
        <v>1</v>
      </c>
      <c r="AK3" s="14">
        <f t="shared" si="0"/>
        <v>1</v>
      </c>
      <c r="AL3" s="14">
        <f t="shared" si="0"/>
        <v>1</v>
      </c>
      <c r="AM3" s="14">
        <f t="shared" si="0"/>
        <v>0</v>
      </c>
      <c r="AN3" s="14">
        <f t="shared" si="0"/>
        <v>1</v>
      </c>
      <c r="AO3" s="14">
        <f t="shared" si="0"/>
        <v>1</v>
      </c>
      <c r="AP3" s="14">
        <f t="shared" si="0"/>
        <v>1</v>
      </c>
      <c r="AQ3" s="14">
        <f t="shared" si="0"/>
        <v>1</v>
      </c>
      <c r="AR3" s="14">
        <f t="shared" si="0"/>
        <v>1</v>
      </c>
      <c r="AS3" s="14">
        <f t="shared" si="0"/>
        <v>1</v>
      </c>
      <c r="AT3" s="14">
        <f t="shared" si="0"/>
        <v>1</v>
      </c>
      <c r="AU3" s="14">
        <f t="shared" si="0"/>
        <v>1</v>
      </c>
      <c r="AV3" s="14">
        <f t="shared" si="0"/>
        <v>1</v>
      </c>
      <c r="AW3" s="14" t="e">
        <f>IF(#REF!,1,0)</f>
        <v>#REF!</v>
      </c>
      <c r="AX3" s="14" t="e">
        <f>IF(#REF!,1,0)</f>
        <v>#REF!</v>
      </c>
      <c r="AY3" s="14" t="e">
        <f>IF(#REF!,1,0)</f>
        <v>#REF!</v>
      </c>
      <c r="AZ3" s="14">
        <f t="shared" si="0"/>
        <v>1</v>
      </c>
      <c r="BA3" s="14" t="e">
        <f t="shared" si="0"/>
        <v>#VALUE!</v>
      </c>
      <c r="BB3" s="14">
        <f t="shared" si="0"/>
        <v>1</v>
      </c>
      <c r="BC3" s="16">
        <v>42111.513888888891</v>
      </c>
      <c r="BD3" s="14">
        <f>IF(BD14,1,0)</f>
        <v>1</v>
      </c>
      <c r="BE3" s="14">
        <f>IF(BE14,1,0)</f>
        <v>1</v>
      </c>
      <c r="BF3" s="14" t="e">
        <f>IF(BF14,1,0)</f>
        <v>#VALUE!</v>
      </c>
      <c r="BG3" s="14" t="e">
        <f>IF(BG14,1,0)</f>
        <v>#VALUE!</v>
      </c>
      <c r="BH3" s="14" t="e">
        <f>IF(BH14,1,0)</f>
        <v>#VALUE!</v>
      </c>
      <c r="BI3" s="17"/>
    </row>
    <row r="4" spans="1:61" s="18" customFormat="1" x14ac:dyDescent="0.2">
      <c r="B4" s="616" t="s">
        <v>1</v>
      </c>
      <c r="C4" s="617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19">
        <v>42400.434027777781</v>
      </c>
      <c r="O4" s="20">
        <v>42400.454861111109</v>
      </c>
      <c r="P4" s="20">
        <v>42400.4375</v>
      </c>
      <c r="Q4" s="20">
        <v>42400.489583333336</v>
      </c>
      <c r="R4" s="20">
        <v>42400.506944444445</v>
      </c>
      <c r="S4" s="20"/>
      <c r="T4" s="20">
        <v>42400.5</v>
      </c>
      <c r="U4" s="20">
        <v>42400.465277777781</v>
      </c>
      <c r="V4" s="20">
        <v>42400.486111111109</v>
      </c>
      <c r="W4" s="20">
        <v>42400.486111111109</v>
      </c>
      <c r="X4" s="21">
        <v>42400.472222222219</v>
      </c>
      <c r="Y4" s="19">
        <v>42400.541666666664</v>
      </c>
      <c r="Z4" s="20">
        <v>42400.482638888891</v>
      </c>
      <c r="AA4" s="20">
        <v>42400.472222222219</v>
      </c>
      <c r="AB4" s="20">
        <v>42400.479166666664</v>
      </c>
      <c r="AC4" s="20">
        <v>42400.493055555555</v>
      </c>
      <c r="AD4" s="20">
        <v>42400.409722222219</v>
      </c>
      <c r="AE4" s="20">
        <v>42400.416666666664</v>
      </c>
      <c r="AF4" s="20">
        <v>42400.493055555555</v>
      </c>
      <c r="AG4" s="20">
        <v>42400.520833333336</v>
      </c>
      <c r="AH4" s="22">
        <v>42400.423611111109</v>
      </c>
      <c r="AI4" s="19">
        <v>42400.451388888891</v>
      </c>
      <c r="AJ4" s="20">
        <v>42400.444444444445</v>
      </c>
      <c r="AK4" s="20"/>
      <c r="AL4" s="20">
        <v>42400</v>
      </c>
      <c r="AM4" s="20">
        <v>42400.510416666664</v>
      </c>
      <c r="AN4" s="20">
        <v>42400.416666666664</v>
      </c>
      <c r="AO4" s="20">
        <v>42400.479166666664</v>
      </c>
      <c r="AP4" s="21">
        <v>42400.416666666664</v>
      </c>
      <c r="AQ4" s="19">
        <v>42400.604166666664</v>
      </c>
      <c r="AR4" s="20">
        <v>42400.409722222219</v>
      </c>
      <c r="AS4" s="20">
        <v>42400.506944444445</v>
      </c>
      <c r="AT4" s="20">
        <v>42400.423611111109</v>
      </c>
      <c r="AU4" s="20">
        <v>42400.423611111109</v>
      </c>
      <c r="AV4" s="20">
        <v>42400.513888888891</v>
      </c>
      <c r="AW4" s="20">
        <v>42400.465277777781</v>
      </c>
      <c r="AX4" s="20">
        <v>42400.520833333336</v>
      </c>
      <c r="AY4" s="20">
        <v>42400.465277777781</v>
      </c>
      <c r="AZ4" s="20">
        <v>42400.375</v>
      </c>
      <c r="BA4" s="20"/>
      <c r="BB4" s="20">
        <v>42400.5</v>
      </c>
      <c r="BC4" s="20">
        <v>42400.493055555555</v>
      </c>
      <c r="BD4" s="20">
        <v>42400.395833333336</v>
      </c>
      <c r="BE4" s="20">
        <v>42400.520833333336</v>
      </c>
      <c r="BF4" s="20"/>
      <c r="BG4" s="20">
        <v>42400.5</v>
      </c>
      <c r="BH4" s="23"/>
    </row>
    <row r="5" spans="1:61" s="18" customFormat="1" x14ac:dyDescent="0.2">
      <c r="B5" s="618" t="s">
        <v>2</v>
      </c>
      <c r="C5" s="619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24">
        <v>42401.461805555555</v>
      </c>
      <c r="O5" s="25">
        <v>42401.409722222219</v>
      </c>
      <c r="P5" s="25">
        <v>42401.458333333336</v>
      </c>
      <c r="Q5" s="25">
        <v>42401.493055555555</v>
      </c>
      <c r="R5" s="25">
        <v>42401.444444444445</v>
      </c>
      <c r="S5" s="25">
        <v>42036.381944444445</v>
      </c>
      <c r="T5" s="25">
        <v>42401.368055555555</v>
      </c>
      <c r="U5" s="25">
        <v>42401.427083333336</v>
      </c>
      <c r="V5" s="25">
        <v>42401.444444444445</v>
      </c>
      <c r="W5" s="25">
        <v>42401.395833333336</v>
      </c>
      <c r="X5" s="26">
        <v>42401.447916666664</v>
      </c>
      <c r="Y5" s="24">
        <v>42401.388888888891</v>
      </c>
      <c r="Z5" s="25">
        <v>42401.041666666664</v>
      </c>
      <c r="AA5" s="25">
        <v>42401.486111111109</v>
      </c>
      <c r="AB5" s="25">
        <v>42401.416666666664</v>
      </c>
      <c r="AC5" s="25">
        <v>42401.454861111109</v>
      </c>
      <c r="AD5" s="25">
        <v>42401.465277777781</v>
      </c>
      <c r="AE5" s="25">
        <v>42401.420138888891</v>
      </c>
      <c r="AF5" s="25">
        <v>42401.447916666664</v>
      </c>
      <c r="AG5" s="25">
        <v>42401.458333333336</v>
      </c>
      <c r="AH5" s="27">
        <v>42401.371527777781</v>
      </c>
      <c r="AI5" s="24">
        <v>42401.395833333336</v>
      </c>
      <c r="AJ5" s="25">
        <v>42401.40625</v>
      </c>
      <c r="AK5" s="25">
        <v>42401.388888888891</v>
      </c>
      <c r="AL5" s="25">
        <v>42401.444444444445</v>
      </c>
      <c r="AM5" s="25">
        <v>42400.902777777781</v>
      </c>
      <c r="AN5" s="25">
        <v>42401.340277777781</v>
      </c>
      <c r="AO5" s="25">
        <v>42401.416666666664</v>
      </c>
      <c r="AP5" s="26">
        <v>42401.4375</v>
      </c>
      <c r="AQ5" s="24">
        <v>42401.413194444445</v>
      </c>
      <c r="AR5" s="25">
        <v>42401.402777777781</v>
      </c>
      <c r="AS5" s="25">
        <v>42401.357638888891</v>
      </c>
      <c r="AT5" s="25">
        <v>42401.430555555555</v>
      </c>
      <c r="AU5" s="25">
        <v>42401.409722222219</v>
      </c>
      <c r="AV5" s="25">
        <v>42401.458333333336</v>
      </c>
      <c r="AW5" s="25">
        <v>42401.423611111109</v>
      </c>
      <c r="AX5" s="25">
        <v>42401.458333333336</v>
      </c>
      <c r="AY5" s="25">
        <v>42401.395833333336</v>
      </c>
      <c r="AZ5" s="25">
        <v>42401.423611111109</v>
      </c>
      <c r="BA5" s="25"/>
      <c r="BB5" s="25">
        <v>42401.423611111109</v>
      </c>
      <c r="BC5" s="25">
        <v>42401.375</v>
      </c>
      <c r="BD5" s="25">
        <v>42401.388888888891</v>
      </c>
      <c r="BE5" s="25">
        <v>42401.434027777781</v>
      </c>
      <c r="BF5" s="25"/>
      <c r="BG5" s="25">
        <v>42401.4375</v>
      </c>
      <c r="BH5" s="28"/>
    </row>
    <row r="6" spans="1:61" s="18" customFormat="1" x14ac:dyDescent="0.2">
      <c r="B6" s="618" t="s">
        <v>3</v>
      </c>
      <c r="C6" s="619"/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29"/>
      <c r="O6" s="30"/>
      <c r="P6" s="30"/>
      <c r="Q6" s="30"/>
      <c r="R6" s="30"/>
      <c r="S6" s="30"/>
      <c r="T6" s="30"/>
      <c r="U6" s="30"/>
      <c r="V6" s="30"/>
      <c r="W6" s="30"/>
      <c r="X6" s="31"/>
      <c r="Y6" s="29"/>
      <c r="Z6" s="30">
        <v>0.125</v>
      </c>
      <c r="AA6" s="30"/>
      <c r="AB6" s="30"/>
      <c r="AC6" s="30"/>
      <c r="AD6" s="30"/>
      <c r="AE6" s="30"/>
      <c r="AF6" s="30"/>
      <c r="AG6" s="30"/>
      <c r="AH6" s="32"/>
      <c r="AI6" s="29">
        <v>8.3333333333333329E-2</v>
      </c>
      <c r="AJ6" s="30"/>
      <c r="AK6" s="30">
        <v>4.1666666666666664E-2</v>
      </c>
      <c r="AL6" s="30"/>
      <c r="AM6" s="30"/>
      <c r="AN6" s="30"/>
      <c r="AO6" s="30"/>
      <c r="AP6" s="31"/>
      <c r="AQ6" s="29"/>
      <c r="AR6" s="30"/>
      <c r="AS6" s="30"/>
      <c r="AT6" s="30"/>
      <c r="AU6" s="30"/>
      <c r="AV6" s="30"/>
      <c r="AW6" s="30"/>
      <c r="AX6" s="30"/>
      <c r="AY6" s="30"/>
      <c r="AZ6" s="30">
        <v>8.3333333333333329E-2</v>
      </c>
      <c r="BA6" s="30"/>
      <c r="BB6" s="30">
        <v>8.3333333333333329E-2</v>
      </c>
      <c r="BC6" s="30"/>
      <c r="BD6" s="30"/>
      <c r="BE6" s="30"/>
      <c r="BF6" s="30"/>
      <c r="BG6" s="30"/>
      <c r="BH6" s="33"/>
    </row>
    <row r="7" spans="1:61" s="34" customFormat="1" ht="15" customHeight="1" x14ac:dyDescent="0.2">
      <c r="B7" s="620" t="s">
        <v>4</v>
      </c>
      <c r="C7" s="621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35">
        <f t="shared" ref="N7:BH7" si="1">N5-N4-N6</f>
        <v>1.0277777777737356</v>
      </c>
      <c r="O7" s="36">
        <f t="shared" si="1"/>
        <v>0.95486111110949423</v>
      </c>
      <c r="P7" s="36">
        <f t="shared" si="1"/>
        <v>1.0208333333357587</v>
      </c>
      <c r="Q7" s="36">
        <f t="shared" si="1"/>
        <v>1.0034722222189885</v>
      </c>
      <c r="R7" s="36">
        <f t="shared" si="1"/>
        <v>0.9375</v>
      </c>
      <c r="S7" s="36">
        <f t="shared" si="1"/>
        <v>42036.381944444445</v>
      </c>
      <c r="T7" s="36">
        <f t="shared" si="1"/>
        <v>0.86805555555474712</v>
      </c>
      <c r="U7" s="36">
        <f t="shared" si="1"/>
        <v>0.96180555555474712</v>
      </c>
      <c r="V7" s="36">
        <f t="shared" si="1"/>
        <v>0.95833333333575865</v>
      </c>
      <c r="W7" s="36">
        <f t="shared" si="1"/>
        <v>0.90972222222626442</v>
      </c>
      <c r="X7" s="37">
        <f t="shared" si="1"/>
        <v>0.97569444444525288</v>
      </c>
      <c r="Y7" s="35">
        <f t="shared" si="1"/>
        <v>0.84722222222626442</v>
      </c>
      <c r="Z7" s="36">
        <f t="shared" si="1"/>
        <v>0.43402777777373558</v>
      </c>
      <c r="AA7" s="36">
        <f t="shared" si="1"/>
        <v>1.0138888888905058</v>
      </c>
      <c r="AB7" s="36">
        <f t="shared" si="1"/>
        <v>0.9375</v>
      </c>
      <c r="AC7" s="36">
        <f t="shared" si="1"/>
        <v>0.96180555555474712</v>
      </c>
      <c r="AD7" s="36">
        <f t="shared" si="1"/>
        <v>1.0555555555620231</v>
      </c>
      <c r="AE7" s="36">
        <f t="shared" si="1"/>
        <v>1.0034722222262644</v>
      </c>
      <c r="AF7" s="36">
        <f t="shared" si="1"/>
        <v>0.95486111110949423</v>
      </c>
      <c r="AG7" s="36">
        <f t="shared" si="1"/>
        <v>0.9375</v>
      </c>
      <c r="AH7" s="38">
        <f t="shared" si="1"/>
        <v>0.94791666667151731</v>
      </c>
      <c r="AI7" s="35">
        <f t="shared" si="1"/>
        <v>0.86111111111191951</v>
      </c>
      <c r="AJ7" s="36">
        <f t="shared" si="1"/>
        <v>0.96180555555474712</v>
      </c>
      <c r="AK7" s="36">
        <f t="shared" si="1"/>
        <v>42401.347222222226</v>
      </c>
      <c r="AL7" s="36">
        <f t="shared" si="1"/>
        <v>1.4444444444452529</v>
      </c>
      <c r="AM7" s="36">
        <f t="shared" si="1"/>
        <v>0.39236111111677019</v>
      </c>
      <c r="AN7" s="36">
        <f t="shared" si="1"/>
        <v>0.92361111111677019</v>
      </c>
      <c r="AO7" s="36">
        <f t="shared" si="1"/>
        <v>0.9375</v>
      </c>
      <c r="AP7" s="37">
        <f t="shared" si="1"/>
        <v>1.0208333333357587</v>
      </c>
      <c r="AQ7" s="35">
        <f t="shared" si="1"/>
        <v>0.80902777778101154</v>
      </c>
      <c r="AR7" s="36">
        <f t="shared" si="1"/>
        <v>0.99305555556202307</v>
      </c>
      <c r="AS7" s="36">
        <f t="shared" si="1"/>
        <v>0.85069444444525288</v>
      </c>
      <c r="AT7" s="36">
        <f t="shared" si="1"/>
        <v>1.0069444444452529</v>
      </c>
      <c r="AU7" s="36">
        <f t="shared" si="1"/>
        <v>0.98611111110949423</v>
      </c>
      <c r="AV7" s="36">
        <f t="shared" si="1"/>
        <v>0.94444444444525288</v>
      </c>
      <c r="AW7" s="36">
        <f t="shared" si="1"/>
        <v>0.95833333332848269</v>
      </c>
      <c r="AX7" s="36">
        <f t="shared" si="1"/>
        <v>0.9375</v>
      </c>
      <c r="AY7" s="36">
        <f t="shared" si="1"/>
        <v>0.93055555555474712</v>
      </c>
      <c r="AZ7" s="36">
        <f t="shared" si="1"/>
        <v>0.96527777777616086</v>
      </c>
      <c r="BA7" s="36">
        <f t="shared" si="1"/>
        <v>0</v>
      </c>
      <c r="BB7" s="36">
        <f t="shared" si="1"/>
        <v>0.84027777777616086</v>
      </c>
      <c r="BC7" s="36">
        <f t="shared" si="1"/>
        <v>0.88194444444525288</v>
      </c>
      <c r="BD7" s="36">
        <f t="shared" si="1"/>
        <v>0.99305555555474712</v>
      </c>
      <c r="BE7" s="36">
        <f t="shared" si="1"/>
        <v>0.91319444444525288</v>
      </c>
      <c r="BF7" s="36">
        <f t="shared" si="1"/>
        <v>0</v>
      </c>
      <c r="BG7" s="36">
        <f t="shared" si="1"/>
        <v>0.9375</v>
      </c>
      <c r="BH7" s="38">
        <f t="shared" si="1"/>
        <v>0</v>
      </c>
    </row>
    <row r="8" spans="1:61" ht="25.5" x14ac:dyDescent="0.2">
      <c r="B8" s="607" t="s">
        <v>5</v>
      </c>
      <c r="C8" s="608"/>
      <c r="D8" s="608"/>
      <c r="E8" s="608"/>
      <c r="F8" s="608"/>
      <c r="G8" s="608"/>
      <c r="H8" s="608"/>
      <c r="I8" s="608"/>
      <c r="J8" s="608"/>
      <c r="K8" s="608"/>
      <c r="L8" s="608"/>
      <c r="M8" s="608"/>
      <c r="N8" s="39" t="s">
        <v>6</v>
      </c>
      <c r="O8" s="40" t="s">
        <v>7</v>
      </c>
      <c r="P8" s="40" t="s">
        <v>8</v>
      </c>
      <c r="Q8" s="40" t="s">
        <v>9</v>
      </c>
      <c r="R8" s="40" t="s">
        <v>10</v>
      </c>
      <c r="S8" s="40" t="s">
        <v>11</v>
      </c>
      <c r="T8" s="40" t="s">
        <v>12</v>
      </c>
      <c r="U8" s="40" t="s">
        <v>13</v>
      </c>
      <c r="V8" s="40" t="s">
        <v>14</v>
      </c>
      <c r="W8" s="40" t="s">
        <v>15</v>
      </c>
      <c r="X8" s="41" t="s">
        <v>16</v>
      </c>
      <c r="Y8" s="39" t="s">
        <v>17</v>
      </c>
      <c r="Z8" s="40" t="s">
        <v>18</v>
      </c>
      <c r="AA8" s="40" t="s">
        <v>19</v>
      </c>
      <c r="AB8" s="40" t="s">
        <v>20</v>
      </c>
      <c r="AC8" s="40" t="s">
        <v>21</v>
      </c>
      <c r="AD8" s="40" t="s">
        <v>22</v>
      </c>
      <c r="AE8" s="40" t="s">
        <v>23</v>
      </c>
      <c r="AF8" s="40" t="s">
        <v>24</v>
      </c>
      <c r="AG8" s="40" t="s">
        <v>25</v>
      </c>
      <c r="AH8" s="42" t="s">
        <v>26</v>
      </c>
      <c r="AI8" s="39" t="s">
        <v>27</v>
      </c>
      <c r="AJ8" s="40" t="s">
        <v>28</v>
      </c>
      <c r="AK8" s="40" t="s">
        <v>29</v>
      </c>
      <c r="AL8" s="40" t="s">
        <v>30</v>
      </c>
      <c r="AM8" s="40" t="s">
        <v>31</v>
      </c>
      <c r="AN8" s="40" t="s">
        <v>32</v>
      </c>
      <c r="AO8" s="40" t="s">
        <v>33</v>
      </c>
      <c r="AP8" s="41" t="s">
        <v>34</v>
      </c>
      <c r="AQ8" s="43" t="s">
        <v>35</v>
      </c>
      <c r="AR8" s="44" t="s">
        <v>36</v>
      </c>
      <c r="AS8" s="44" t="s">
        <v>37</v>
      </c>
      <c r="AT8" s="44" t="s">
        <v>38</v>
      </c>
      <c r="AU8" s="44" t="s">
        <v>39</v>
      </c>
      <c r="AV8" s="44" t="s">
        <v>40</v>
      </c>
      <c r="AW8" s="44" t="s">
        <v>41</v>
      </c>
      <c r="AX8" s="44" t="s">
        <v>42</v>
      </c>
      <c r="AY8" s="44" t="s">
        <v>43</v>
      </c>
      <c r="AZ8" s="44" t="s">
        <v>44</v>
      </c>
      <c r="BA8" s="44"/>
      <c r="BB8" s="44" t="s">
        <v>45</v>
      </c>
      <c r="BC8" s="44" t="s">
        <v>46</v>
      </c>
      <c r="BD8" s="44" t="s">
        <v>47</v>
      </c>
      <c r="BE8" s="44" t="s">
        <v>48</v>
      </c>
      <c r="BF8" s="44"/>
      <c r="BG8" s="44" t="s">
        <v>49</v>
      </c>
      <c r="BH8" s="45"/>
      <c r="BI8" s="46"/>
    </row>
    <row r="9" spans="1:61" ht="21" x14ac:dyDescent="0.2">
      <c r="B9" s="607" t="s">
        <v>50</v>
      </c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47" t="s">
        <v>51</v>
      </c>
      <c r="O9" s="48" t="s">
        <v>51</v>
      </c>
      <c r="P9" s="48" t="s">
        <v>51</v>
      </c>
      <c r="Q9" s="48" t="s">
        <v>51</v>
      </c>
      <c r="R9" s="48" t="s">
        <v>51</v>
      </c>
      <c r="S9" s="48" t="s">
        <v>51</v>
      </c>
      <c r="T9" s="48" t="s">
        <v>51</v>
      </c>
      <c r="U9" s="48" t="s">
        <v>51</v>
      </c>
      <c r="V9" s="48" t="s">
        <v>51</v>
      </c>
      <c r="W9" s="48" t="s">
        <v>51</v>
      </c>
      <c r="X9" s="49" t="s">
        <v>51</v>
      </c>
      <c r="Y9" s="50" t="s">
        <v>52</v>
      </c>
      <c r="Z9" s="51" t="s">
        <v>52</v>
      </c>
      <c r="AA9" s="51" t="s">
        <v>52</v>
      </c>
      <c r="AB9" s="51" t="s">
        <v>52</v>
      </c>
      <c r="AC9" s="51" t="s">
        <v>52</v>
      </c>
      <c r="AD9" s="51" t="s">
        <v>52</v>
      </c>
      <c r="AE9" s="51" t="s">
        <v>52</v>
      </c>
      <c r="AF9" s="51" t="s">
        <v>52</v>
      </c>
      <c r="AG9" s="51" t="s">
        <v>52</v>
      </c>
      <c r="AH9" s="52" t="s">
        <v>52</v>
      </c>
      <c r="AI9" s="47" t="s">
        <v>53</v>
      </c>
      <c r="AJ9" s="48" t="s">
        <v>53</v>
      </c>
      <c r="AK9" s="48" t="s">
        <v>53</v>
      </c>
      <c r="AL9" s="48" t="s">
        <v>53</v>
      </c>
      <c r="AM9" s="48" t="s">
        <v>53</v>
      </c>
      <c r="AN9" s="48" t="s">
        <v>53</v>
      </c>
      <c r="AO9" s="48" t="s">
        <v>53</v>
      </c>
      <c r="AP9" s="49" t="s">
        <v>53</v>
      </c>
      <c r="AQ9" s="53" t="s">
        <v>54</v>
      </c>
      <c r="AR9" s="54" t="s">
        <v>54</v>
      </c>
      <c r="AS9" s="54" t="s">
        <v>54</v>
      </c>
      <c r="AT9" s="54" t="s">
        <v>54</v>
      </c>
      <c r="AU9" s="54" t="s">
        <v>54</v>
      </c>
      <c r="AV9" s="54" t="s">
        <v>54</v>
      </c>
      <c r="AW9" s="54" t="s">
        <v>54</v>
      </c>
      <c r="AX9" s="54" t="s">
        <v>54</v>
      </c>
      <c r="AY9" s="54" t="s">
        <v>54</v>
      </c>
      <c r="AZ9" s="54" t="s">
        <v>54</v>
      </c>
      <c r="BA9" s="54" t="s">
        <v>54</v>
      </c>
      <c r="BB9" s="54" t="s">
        <v>54</v>
      </c>
      <c r="BC9" s="54" t="s">
        <v>54</v>
      </c>
      <c r="BD9" s="54" t="s">
        <v>54</v>
      </c>
      <c r="BE9" s="54" t="s">
        <v>54</v>
      </c>
      <c r="BF9" s="54" t="s">
        <v>54</v>
      </c>
      <c r="BG9" s="54" t="s">
        <v>54</v>
      </c>
      <c r="BH9" s="55" t="s">
        <v>54</v>
      </c>
      <c r="BI9" s="46"/>
    </row>
    <row r="10" spans="1:61" s="56" customFormat="1" x14ac:dyDescent="0.2">
      <c r="B10" s="607" t="s">
        <v>55</v>
      </c>
      <c r="C10" s="608"/>
      <c r="D10" s="608"/>
      <c r="E10" s="608"/>
      <c r="F10" s="608"/>
      <c r="G10" s="608"/>
      <c r="H10" s="608"/>
      <c r="I10" s="608"/>
      <c r="J10" s="608"/>
      <c r="K10" s="608"/>
      <c r="L10" s="608"/>
      <c r="M10" s="608"/>
      <c r="N10" s="57" t="s">
        <v>56</v>
      </c>
      <c r="O10" s="58" t="s">
        <v>57</v>
      </c>
      <c r="P10" s="58" t="s">
        <v>58</v>
      </c>
      <c r="Q10" s="58" t="s">
        <v>59</v>
      </c>
      <c r="R10" s="58" t="s">
        <v>60</v>
      </c>
      <c r="S10" s="58" t="s">
        <v>61</v>
      </c>
      <c r="T10" s="58" t="s">
        <v>62</v>
      </c>
      <c r="U10" s="58" t="s">
        <v>63</v>
      </c>
      <c r="V10" s="58" t="s">
        <v>64</v>
      </c>
      <c r="W10" s="58" t="s">
        <v>65</v>
      </c>
      <c r="X10" s="58" t="s">
        <v>66</v>
      </c>
      <c r="Y10" s="57" t="s">
        <v>67</v>
      </c>
      <c r="Z10" s="58" t="s">
        <v>68</v>
      </c>
      <c r="AA10" s="58" t="s">
        <v>69</v>
      </c>
      <c r="AB10" s="58" t="s">
        <v>70</v>
      </c>
      <c r="AC10" s="58" t="s">
        <v>71</v>
      </c>
      <c r="AD10" s="58" t="s">
        <v>72</v>
      </c>
      <c r="AE10" s="58" t="s">
        <v>73</v>
      </c>
      <c r="AF10" s="58" t="s">
        <v>74</v>
      </c>
      <c r="AG10" s="58" t="s">
        <v>75</v>
      </c>
      <c r="AH10" s="59" t="s">
        <v>76</v>
      </c>
      <c r="AI10" s="57" t="s">
        <v>77</v>
      </c>
      <c r="AJ10" s="58" t="s">
        <v>78</v>
      </c>
      <c r="AK10" s="58" t="s">
        <v>79</v>
      </c>
      <c r="AL10" s="58" t="s">
        <v>80</v>
      </c>
      <c r="AM10" s="58" t="s">
        <v>81</v>
      </c>
      <c r="AN10" s="58" t="s">
        <v>82</v>
      </c>
      <c r="AO10" s="58" t="s">
        <v>83</v>
      </c>
      <c r="AP10" s="60" t="s">
        <v>84</v>
      </c>
      <c r="AQ10" s="57" t="s">
        <v>85</v>
      </c>
      <c r="AR10" s="58" t="s">
        <v>86</v>
      </c>
      <c r="AS10" s="58" t="s">
        <v>87</v>
      </c>
      <c r="AT10" s="58" t="s">
        <v>88</v>
      </c>
      <c r="AU10" s="58" t="s">
        <v>89</v>
      </c>
      <c r="AV10" s="58" t="s">
        <v>90</v>
      </c>
      <c r="AW10" s="58" t="s">
        <v>91</v>
      </c>
      <c r="AX10" s="58" t="s">
        <v>92</v>
      </c>
      <c r="AY10" s="58" t="s">
        <v>93</v>
      </c>
      <c r="AZ10" s="58" t="s">
        <v>94</v>
      </c>
      <c r="BA10" s="58" t="s">
        <v>95</v>
      </c>
      <c r="BB10" s="58" t="s">
        <v>96</v>
      </c>
      <c r="BC10" s="58" t="s">
        <v>97</v>
      </c>
      <c r="BD10" s="58" t="s">
        <v>98</v>
      </c>
      <c r="BE10" s="58" t="s">
        <v>99</v>
      </c>
      <c r="BF10" s="58" t="s">
        <v>100</v>
      </c>
      <c r="BG10" s="58" t="s">
        <v>101</v>
      </c>
      <c r="BH10" s="59" t="s">
        <v>102</v>
      </c>
      <c r="BI10" s="46"/>
    </row>
    <row r="11" spans="1:61" s="61" customFormat="1" ht="17.25" customHeight="1" x14ac:dyDescent="0.2">
      <c r="B11" s="609" t="s">
        <v>103</v>
      </c>
      <c r="C11" s="610"/>
      <c r="D11" s="610"/>
      <c r="E11" s="610"/>
      <c r="F11" s="610"/>
      <c r="G11" s="610"/>
      <c r="H11" s="610"/>
      <c r="I11" s="610"/>
      <c r="J11" s="610"/>
      <c r="K11" s="610"/>
      <c r="L11" s="610"/>
      <c r="M11" s="610"/>
      <c r="N11" s="62" t="s">
        <v>104</v>
      </c>
      <c r="O11" s="63" t="s">
        <v>105</v>
      </c>
      <c r="P11" s="63" t="s">
        <v>106</v>
      </c>
      <c r="Q11" s="63" t="s">
        <v>107</v>
      </c>
      <c r="R11" s="63" t="s">
        <v>108</v>
      </c>
      <c r="S11" s="63" t="s">
        <v>109</v>
      </c>
      <c r="T11" s="63" t="s">
        <v>110</v>
      </c>
      <c r="U11" s="64" t="s">
        <v>111</v>
      </c>
      <c r="V11" s="63" t="s">
        <v>112</v>
      </c>
      <c r="W11" s="64" t="s">
        <v>113</v>
      </c>
      <c r="X11" s="65" t="s">
        <v>114</v>
      </c>
      <c r="Y11" s="66" t="s">
        <v>115</v>
      </c>
      <c r="Z11" s="63" t="s">
        <v>116</v>
      </c>
      <c r="AA11" s="63" t="s">
        <v>117</v>
      </c>
      <c r="AB11" s="63" t="s">
        <v>118</v>
      </c>
      <c r="AC11" s="63" t="s">
        <v>119</v>
      </c>
      <c r="AD11" s="63" t="s">
        <v>120</v>
      </c>
      <c r="AE11" s="63" t="s">
        <v>121</v>
      </c>
      <c r="AF11" s="63" t="s">
        <v>122</v>
      </c>
      <c r="AG11" s="63" t="s">
        <v>123</v>
      </c>
      <c r="AH11" s="67" t="s">
        <v>124</v>
      </c>
      <c r="AI11" s="62" t="s">
        <v>125</v>
      </c>
      <c r="AJ11" s="63" t="s">
        <v>126</v>
      </c>
      <c r="AK11" s="63"/>
      <c r="AL11" s="63"/>
      <c r="AM11" s="64"/>
      <c r="AN11" s="63"/>
      <c r="AO11" s="64"/>
      <c r="AP11" s="65"/>
      <c r="AQ11" s="62"/>
      <c r="AR11" s="63"/>
      <c r="AS11" s="64"/>
      <c r="AT11" s="63"/>
      <c r="AU11" s="64"/>
      <c r="AV11" s="64"/>
      <c r="AW11" s="64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7"/>
      <c r="BI11" s="68"/>
    </row>
    <row r="12" spans="1:61" s="69" customFormat="1" ht="20.25" customHeight="1" thickBot="1" x14ac:dyDescent="0.25">
      <c r="B12" s="611" t="s">
        <v>127</v>
      </c>
      <c r="C12" s="612"/>
      <c r="D12" s="612"/>
      <c r="E12" s="612"/>
      <c r="F12" s="612"/>
      <c r="G12" s="612"/>
      <c r="H12" s="612"/>
      <c r="I12" s="612"/>
      <c r="J12" s="612"/>
      <c r="K12" s="612"/>
      <c r="L12" s="612"/>
      <c r="M12" s="612"/>
      <c r="N12" s="70" t="s">
        <v>128</v>
      </c>
      <c r="O12" s="71" t="s">
        <v>128</v>
      </c>
      <c r="P12" s="72" t="s">
        <v>128</v>
      </c>
      <c r="Q12" s="71" t="s">
        <v>128</v>
      </c>
      <c r="R12" s="71" t="s">
        <v>128</v>
      </c>
      <c r="S12" s="71" t="s">
        <v>128</v>
      </c>
      <c r="T12" s="71" t="s">
        <v>128</v>
      </c>
      <c r="U12" s="72" t="s">
        <v>128</v>
      </c>
      <c r="V12" s="71" t="s">
        <v>128</v>
      </c>
      <c r="W12" s="71" t="s">
        <v>128</v>
      </c>
      <c r="X12" s="71" t="s">
        <v>128</v>
      </c>
      <c r="Y12" s="71" t="s">
        <v>128</v>
      </c>
      <c r="Z12" s="71" t="s">
        <v>128</v>
      </c>
      <c r="AA12" s="71" t="s">
        <v>128</v>
      </c>
      <c r="AB12" s="71" t="s">
        <v>128</v>
      </c>
      <c r="AC12" s="72" t="s">
        <v>129</v>
      </c>
      <c r="AD12" s="72" t="s">
        <v>129</v>
      </c>
      <c r="AE12" s="72" t="s">
        <v>129</v>
      </c>
      <c r="AF12" s="72" t="s">
        <v>129</v>
      </c>
      <c r="AG12" s="72" t="s">
        <v>129</v>
      </c>
      <c r="AH12" s="70" t="s">
        <v>129</v>
      </c>
      <c r="AI12" s="70" t="s">
        <v>129</v>
      </c>
      <c r="AJ12" s="71" t="s">
        <v>129</v>
      </c>
      <c r="AK12" s="72"/>
      <c r="AL12" s="72"/>
      <c r="AM12" s="72"/>
      <c r="AN12" s="71"/>
      <c r="AO12" s="72"/>
      <c r="AP12" s="73"/>
      <c r="AQ12" s="70"/>
      <c r="AR12" s="72"/>
      <c r="AS12" s="72"/>
      <c r="AT12" s="72"/>
      <c r="AU12" s="72"/>
      <c r="AV12" s="72"/>
      <c r="AW12" s="72"/>
      <c r="AX12" s="71"/>
      <c r="AY12" s="71"/>
      <c r="AZ12" s="71"/>
      <c r="BA12" s="71"/>
      <c r="BB12" s="71"/>
      <c r="BC12" s="71"/>
      <c r="BD12" s="71"/>
      <c r="BE12" s="71"/>
      <c r="BF12" s="71"/>
      <c r="BG12" s="72"/>
      <c r="BH12" s="74"/>
      <c r="BI12" s="75"/>
    </row>
    <row r="13" spans="1:61" ht="15" customHeight="1" thickBot="1" x14ac:dyDescent="0.3">
      <c r="B13" s="76"/>
      <c r="C13" s="77"/>
      <c r="D13" s="77"/>
      <c r="E13" s="78"/>
      <c r="F13" s="79"/>
      <c r="G13" s="79"/>
      <c r="H13" s="79"/>
      <c r="I13" s="79"/>
      <c r="J13" s="79"/>
      <c r="K13" s="596" t="s">
        <v>130</v>
      </c>
      <c r="L13" s="596"/>
      <c r="M13" s="597"/>
      <c r="N13" s="80">
        <f t="shared" ref="N13:BH13" si="2">SUM(N14:N38)</f>
        <v>0</v>
      </c>
      <c r="O13" s="81">
        <f t="shared" si="2"/>
        <v>0</v>
      </c>
      <c r="P13" s="81">
        <f t="shared" si="2"/>
        <v>0</v>
      </c>
      <c r="Q13" s="81">
        <f t="shared" si="2"/>
        <v>0</v>
      </c>
      <c r="R13" s="81">
        <f t="shared" si="2"/>
        <v>0</v>
      </c>
      <c r="S13" s="81">
        <f t="shared" si="2"/>
        <v>0</v>
      </c>
      <c r="T13" s="81">
        <f t="shared" si="2"/>
        <v>0</v>
      </c>
      <c r="U13" s="81">
        <f t="shared" si="2"/>
        <v>0</v>
      </c>
      <c r="V13" s="81">
        <f t="shared" si="2"/>
        <v>0</v>
      </c>
      <c r="W13" s="81">
        <f t="shared" si="2"/>
        <v>0</v>
      </c>
      <c r="X13" s="82">
        <f t="shared" si="2"/>
        <v>0</v>
      </c>
      <c r="Y13" s="80">
        <f t="shared" si="2"/>
        <v>0</v>
      </c>
      <c r="Z13" s="81">
        <f t="shared" si="2"/>
        <v>0</v>
      </c>
      <c r="AA13" s="81">
        <f t="shared" si="2"/>
        <v>0</v>
      </c>
      <c r="AB13" s="81">
        <f t="shared" si="2"/>
        <v>0</v>
      </c>
      <c r="AC13" s="81">
        <f t="shared" si="2"/>
        <v>3498</v>
      </c>
      <c r="AD13" s="81">
        <f t="shared" si="2"/>
        <v>6544</v>
      </c>
      <c r="AE13" s="81">
        <f t="shared" si="2"/>
        <v>0</v>
      </c>
      <c r="AF13" s="81">
        <f t="shared" si="2"/>
        <v>4857</v>
      </c>
      <c r="AG13" s="81">
        <f t="shared" si="2"/>
        <v>5032</v>
      </c>
      <c r="AH13" s="82">
        <f t="shared" si="2"/>
        <v>0</v>
      </c>
      <c r="AI13" s="80">
        <f t="shared" si="2"/>
        <v>3417</v>
      </c>
      <c r="AJ13" s="81">
        <f t="shared" si="2"/>
        <v>8788</v>
      </c>
      <c r="AK13" s="81">
        <f t="shared" si="2"/>
        <v>6391</v>
      </c>
      <c r="AL13" s="81">
        <f t="shared" si="2"/>
        <v>6130</v>
      </c>
      <c r="AM13" s="81">
        <f t="shared" si="2"/>
        <v>0</v>
      </c>
      <c r="AN13" s="81">
        <f t="shared" si="2"/>
        <v>6061</v>
      </c>
      <c r="AO13" s="81">
        <f t="shared" si="2"/>
        <v>7030</v>
      </c>
      <c r="AP13" s="83">
        <f t="shared" si="2"/>
        <v>8176</v>
      </c>
      <c r="AQ13" s="80">
        <f t="shared" si="2"/>
        <v>3377</v>
      </c>
      <c r="AR13" s="81">
        <f t="shared" si="2"/>
        <v>5503</v>
      </c>
      <c r="AS13" s="81">
        <f t="shared" si="2"/>
        <v>3329</v>
      </c>
      <c r="AT13" s="81">
        <f t="shared" si="2"/>
        <v>4764</v>
      </c>
      <c r="AU13" s="81">
        <f t="shared" si="2"/>
        <v>5623</v>
      </c>
      <c r="AV13" s="81">
        <f t="shared" si="2"/>
        <v>4277</v>
      </c>
      <c r="AW13" s="81">
        <f>SUM(AW14:AW38)</f>
        <v>5648</v>
      </c>
      <c r="AX13" s="81">
        <f>SUM(AX14:AX38)</f>
        <v>7137</v>
      </c>
      <c r="AY13" s="81">
        <f>SUM(AY14:AY38)</f>
        <v>6082</v>
      </c>
      <c r="AZ13" s="81">
        <f t="shared" si="2"/>
        <v>6616</v>
      </c>
      <c r="BA13" s="81">
        <f t="shared" si="2"/>
        <v>0</v>
      </c>
      <c r="BB13" s="81">
        <f t="shared" si="2"/>
        <v>6971</v>
      </c>
      <c r="BC13" s="81">
        <f t="shared" si="2"/>
        <v>3398</v>
      </c>
      <c r="BD13" s="81">
        <f t="shared" si="2"/>
        <v>6266</v>
      </c>
      <c r="BE13" s="81">
        <f t="shared" si="2"/>
        <v>4876</v>
      </c>
      <c r="BF13" s="81">
        <f t="shared" si="2"/>
        <v>0</v>
      </c>
      <c r="BG13" s="81">
        <f t="shared" si="2"/>
        <v>0</v>
      </c>
      <c r="BH13" s="82">
        <f t="shared" si="2"/>
        <v>0</v>
      </c>
      <c r="BI13" s="84"/>
    </row>
    <row r="14" spans="1:61" s="94" customFormat="1" ht="15" customHeight="1" outlineLevel="1" x14ac:dyDescent="0.2">
      <c r="A14" s="85"/>
      <c r="B14" s="604">
        <v>1</v>
      </c>
      <c r="C14" s="605"/>
      <c r="D14" s="605"/>
      <c r="E14" s="605"/>
      <c r="F14" s="605"/>
      <c r="G14" s="605"/>
      <c r="H14" s="605"/>
      <c r="I14" s="605"/>
      <c r="J14" s="605"/>
      <c r="K14" s="605"/>
      <c r="L14" s="605"/>
      <c r="M14" s="606"/>
      <c r="N14" s="86"/>
      <c r="O14" s="87"/>
      <c r="P14" s="87"/>
      <c r="Q14" s="87"/>
      <c r="R14" s="87"/>
      <c r="S14" s="87"/>
      <c r="T14" s="87"/>
      <c r="U14" s="87"/>
      <c r="V14" s="87"/>
      <c r="W14" s="87"/>
      <c r="X14" s="88"/>
      <c r="Y14" s="89"/>
      <c r="Z14" s="90"/>
      <c r="AA14" s="90"/>
      <c r="AB14" s="90"/>
      <c r="AC14" s="90">
        <v>335</v>
      </c>
      <c r="AD14" s="90">
        <v>233</v>
      </c>
      <c r="AE14" s="90" t="s">
        <v>131</v>
      </c>
      <c r="AF14" s="90">
        <v>777</v>
      </c>
      <c r="AG14" s="90">
        <v>1730</v>
      </c>
      <c r="AH14" s="91"/>
      <c r="AI14" s="86">
        <v>335</v>
      </c>
      <c r="AJ14" s="87">
        <v>488</v>
      </c>
      <c r="AK14" s="87">
        <v>573</v>
      </c>
      <c r="AL14" s="87">
        <v>420</v>
      </c>
      <c r="AM14" s="87"/>
      <c r="AN14" s="87">
        <v>454</v>
      </c>
      <c r="AO14" s="87">
        <v>471</v>
      </c>
      <c r="AP14" s="92">
        <v>199</v>
      </c>
      <c r="AQ14" s="86">
        <v>2119</v>
      </c>
      <c r="AR14" s="87">
        <v>301</v>
      </c>
      <c r="AS14" s="87">
        <v>284</v>
      </c>
      <c r="AT14" s="87">
        <v>301</v>
      </c>
      <c r="AU14" s="87">
        <v>216</v>
      </c>
      <c r="AV14" s="87">
        <v>301</v>
      </c>
      <c r="AW14" s="93">
        <v>505</v>
      </c>
      <c r="AX14" s="93">
        <v>743</v>
      </c>
      <c r="AY14" s="93">
        <v>199</v>
      </c>
      <c r="AZ14" s="87">
        <v>488</v>
      </c>
      <c r="BA14" s="87" t="s">
        <v>131</v>
      </c>
      <c r="BB14" s="87">
        <v>199</v>
      </c>
      <c r="BC14" s="87">
        <v>199</v>
      </c>
      <c r="BD14" s="87">
        <v>233</v>
      </c>
      <c r="BE14" s="87">
        <v>1156</v>
      </c>
      <c r="BF14" s="87" t="s">
        <v>131</v>
      </c>
      <c r="BG14" s="87" t="s">
        <v>131</v>
      </c>
      <c r="BH14" s="88" t="s">
        <v>131</v>
      </c>
    </row>
    <row r="15" spans="1:61" s="94" customFormat="1" ht="15" customHeight="1" outlineLevel="1" x14ac:dyDescent="0.2">
      <c r="A15" s="85"/>
      <c r="B15" s="593">
        <v>2</v>
      </c>
      <c r="C15" s="594"/>
      <c r="D15" s="594"/>
      <c r="E15" s="594"/>
      <c r="F15" s="594"/>
      <c r="G15" s="594"/>
      <c r="H15" s="594"/>
      <c r="I15" s="594"/>
      <c r="J15" s="594"/>
      <c r="K15" s="594"/>
      <c r="L15" s="594"/>
      <c r="M15" s="595"/>
      <c r="N15" s="95"/>
      <c r="O15" s="93"/>
      <c r="P15" s="93"/>
      <c r="Q15" s="93"/>
      <c r="R15" s="93"/>
      <c r="S15" s="93"/>
      <c r="T15" s="93"/>
      <c r="U15" s="93"/>
      <c r="V15" s="93"/>
      <c r="W15" s="93"/>
      <c r="X15" s="96"/>
      <c r="Y15" s="97"/>
      <c r="Z15" s="93"/>
      <c r="AA15" s="93"/>
      <c r="AB15" s="93"/>
      <c r="AC15" s="93">
        <v>556</v>
      </c>
      <c r="AD15" s="93">
        <v>624</v>
      </c>
      <c r="AE15" s="93"/>
      <c r="AF15" s="93">
        <v>624</v>
      </c>
      <c r="AG15" s="93">
        <v>199</v>
      </c>
      <c r="AH15" s="96"/>
      <c r="AI15" s="95">
        <v>471</v>
      </c>
      <c r="AJ15" s="93">
        <v>998</v>
      </c>
      <c r="AK15" s="93">
        <v>512</v>
      </c>
      <c r="AL15" s="93">
        <v>216</v>
      </c>
      <c r="AM15" s="93"/>
      <c r="AN15" s="93">
        <v>369</v>
      </c>
      <c r="AO15" s="93">
        <v>369</v>
      </c>
      <c r="AP15" s="98">
        <v>200</v>
      </c>
      <c r="AQ15" s="95">
        <v>250</v>
      </c>
      <c r="AR15" s="93">
        <v>475</v>
      </c>
      <c r="AS15" s="93">
        <v>1369</v>
      </c>
      <c r="AT15" s="93">
        <v>743</v>
      </c>
      <c r="AU15" s="93">
        <v>199</v>
      </c>
      <c r="AV15" s="93">
        <v>214</v>
      </c>
      <c r="AW15" s="93">
        <v>454</v>
      </c>
      <c r="AX15" s="93">
        <v>505</v>
      </c>
      <c r="AY15" s="93">
        <v>199</v>
      </c>
      <c r="AZ15" s="93">
        <v>794</v>
      </c>
      <c r="BA15" s="93"/>
      <c r="BB15" s="93">
        <v>369</v>
      </c>
      <c r="BC15" s="93">
        <v>658</v>
      </c>
      <c r="BD15" s="93">
        <v>603</v>
      </c>
      <c r="BE15" s="93">
        <v>335</v>
      </c>
      <c r="BF15" s="93"/>
      <c r="BG15" s="93"/>
      <c r="BH15" s="96"/>
    </row>
    <row r="16" spans="1:61" s="94" customFormat="1" ht="15" customHeight="1" outlineLevel="1" x14ac:dyDescent="0.2">
      <c r="A16" s="85"/>
      <c r="B16" s="593">
        <v>3</v>
      </c>
      <c r="C16" s="594"/>
      <c r="D16" s="594"/>
      <c r="E16" s="594"/>
      <c r="F16" s="594"/>
      <c r="G16" s="594"/>
      <c r="H16" s="594"/>
      <c r="I16" s="594"/>
      <c r="J16" s="594"/>
      <c r="K16" s="594"/>
      <c r="L16" s="594"/>
      <c r="M16" s="595"/>
      <c r="N16" s="95"/>
      <c r="O16" s="93"/>
      <c r="P16" s="93"/>
      <c r="Q16" s="93"/>
      <c r="R16" s="93"/>
      <c r="S16" s="93"/>
      <c r="T16" s="93"/>
      <c r="U16" s="93"/>
      <c r="V16" s="93"/>
      <c r="W16" s="93"/>
      <c r="X16" s="96"/>
      <c r="Y16" s="97"/>
      <c r="Z16" s="93"/>
      <c r="AA16" s="93"/>
      <c r="AB16" s="93"/>
      <c r="AC16" s="93">
        <v>284</v>
      </c>
      <c r="AD16" s="93">
        <v>1000</v>
      </c>
      <c r="AE16" s="93"/>
      <c r="AF16" s="93">
        <v>199</v>
      </c>
      <c r="AG16" s="93">
        <v>199</v>
      </c>
      <c r="AH16" s="96"/>
      <c r="AI16" s="95">
        <v>454</v>
      </c>
      <c r="AJ16" s="93">
        <v>267</v>
      </c>
      <c r="AK16" s="93">
        <v>600</v>
      </c>
      <c r="AL16" s="93">
        <v>556</v>
      </c>
      <c r="AM16" s="93"/>
      <c r="AN16" s="93">
        <v>1200</v>
      </c>
      <c r="AO16" s="93">
        <v>437</v>
      </c>
      <c r="AP16" s="98">
        <v>199</v>
      </c>
      <c r="AQ16" s="95">
        <v>284</v>
      </c>
      <c r="AR16" s="93">
        <v>261</v>
      </c>
      <c r="AS16" s="93">
        <v>1000</v>
      </c>
      <c r="AT16" s="93">
        <v>906</v>
      </c>
      <c r="AU16" s="93">
        <v>233</v>
      </c>
      <c r="AV16" s="93">
        <v>964</v>
      </c>
      <c r="AW16" s="93">
        <v>386</v>
      </c>
      <c r="AX16" s="93">
        <v>233</v>
      </c>
      <c r="AY16" s="93">
        <v>250</v>
      </c>
      <c r="AZ16" s="93">
        <v>199</v>
      </c>
      <c r="BA16" s="93"/>
      <c r="BB16" s="93">
        <v>233</v>
      </c>
      <c r="BC16" s="93">
        <v>1400</v>
      </c>
      <c r="BD16" s="93">
        <v>369</v>
      </c>
      <c r="BE16" s="93">
        <v>369</v>
      </c>
      <c r="BF16" s="93"/>
      <c r="BG16" s="93"/>
      <c r="BH16" s="96"/>
    </row>
    <row r="17" spans="1:60" s="94" customFormat="1" ht="15" customHeight="1" outlineLevel="1" x14ac:dyDescent="0.2">
      <c r="A17" s="85"/>
      <c r="B17" s="593">
        <v>4</v>
      </c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5"/>
      <c r="N17" s="95"/>
      <c r="O17" s="93"/>
      <c r="P17" s="93"/>
      <c r="Q17" s="93"/>
      <c r="R17" s="93"/>
      <c r="S17" s="93"/>
      <c r="T17" s="93"/>
      <c r="U17" s="93"/>
      <c r="V17" s="93"/>
      <c r="W17" s="93"/>
      <c r="X17" s="96"/>
      <c r="Y17" s="97"/>
      <c r="Z17" s="93"/>
      <c r="AA17" s="93"/>
      <c r="AB17" s="93"/>
      <c r="AC17" s="93">
        <v>199</v>
      </c>
      <c r="AD17" s="93">
        <v>1000</v>
      </c>
      <c r="AE17" s="93"/>
      <c r="AF17" s="93">
        <v>471</v>
      </c>
      <c r="AG17" s="93">
        <v>199</v>
      </c>
      <c r="AH17" s="96"/>
      <c r="AI17" s="95">
        <v>658</v>
      </c>
      <c r="AJ17" s="93">
        <v>250</v>
      </c>
      <c r="AK17" s="93">
        <v>199</v>
      </c>
      <c r="AL17" s="93">
        <v>199</v>
      </c>
      <c r="AM17" s="93"/>
      <c r="AN17" s="93">
        <v>1000</v>
      </c>
      <c r="AO17" s="93">
        <v>692</v>
      </c>
      <c r="AP17" s="98">
        <v>505</v>
      </c>
      <c r="AQ17" s="95">
        <v>525</v>
      </c>
      <c r="AR17" s="93">
        <v>301</v>
      </c>
      <c r="AS17" s="93">
        <v>375</v>
      </c>
      <c r="AT17" s="93">
        <v>639</v>
      </c>
      <c r="AU17" s="93">
        <v>352</v>
      </c>
      <c r="AV17" s="93">
        <v>505</v>
      </c>
      <c r="AW17" s="93">
        <v>726</v>
      </c>
      <c r="AX17" s="93">
        <v>399</v>
      </c>
      <c r="AY17" s="93">
        <v>420</v>
      </c>
      <c r="AZ17" s="93">
        <v>335</v>
      </c>
      <c r="BA17" s="93"/>
      <c r="BB17" s="93">
        <v>199</v>
      </c>
      <c r="BC17" s="93">
        <v>590</v>
      </c>
      <c r="BD17" s="93">
        <v>1045</v>
      </c>
      <c r="BE17" s="93">
        <v>639</v>
      </c>
      <c r="BF17" s="93"/>
      <c r="BG17" s="93"/>
      <c r="BH17" s="96"/>
    </row>
    <row r="18" spans="1:60" s="94" customFormat="1" ht="15" customHeight="1" outlineLevel="1" x14ac:dyDescent="0.2">
      <c r="A18" s="85"/>
      <c r="B18" s="593">
        <v>5</v>
      </c>
      <c r="C18" s="594"/>
      <c r="D18" s="594"/>
      <c r="E18" s="594"/>
      <c r="F18" s="594"/>
      <c r="G18" s="594"/>
      <c r="H18" s="594"/>
      <c r="I18" s="594"/>
      <c r="J18" s="594"/>
      <c r="K18" s="594"/>
      <c r="L18" s="594"/>
      <c r="M18" s="595"/>
      <c r="N18" s="95"/>
      <c r="O18" s="93"/>
      <c r="P18" s="93"/>
      <c r="Q18" s="93"/>
      <c r="R18" s="93"/>
      <c r="S18" s="93"/>
      <c r="T18" s="93"/>
      <c r="U18" s="93"/>
      <c r="V18" s="93"/>
      <c r="W18" s="93"/>
      <c r="X18" s="96"/>
      <c r="Y18" s="97"/>
      <c r="Z18" s="93"/>
      <c r="AA18" s="93"/>
      <c r="AB18" s="93"/>
      <c r="AC18" s="93">
        <v>420</v>
      </c>
      <c r="AD18" s="93">
        <v>384</v>
      </c>
      <c r="AE18" s="93"/>
      <c r="AF18" s="93">
        <v>284</v>
      </c>
      <c r="AG18" s="93">
        <v>267</v>
      </c>
      <c r="AH18" s="96"/>
      <c r="AI18" s="95">
        <v>301</v>
      </c>
      <c r="AJ18" s="93">
        <v>199</v>
      </c>
      <c r="AK18" s="93">
        <v>590</v>
      </c>
      <c r="AL18" s="93">
        <v>590</v>
      </c>
      <c r="AM18" s="93"/>
      <c r="AN18" s="93">
        <v>199</v>
      </c>
      <c r="AO18" s="93">
        <v>1202</v>
      </c>
      <c r="AP18" s="98">
        <v>199</v>
      </c>
      <c r="AQ18" s="95">
        <v>199</v>
      </c>
      <c r="AR18" s="93">
        <v>471</v>
      </c>
      <c r="AS18" s="93">
        <v>301</v>
      </c>
      <c r="AT18" s="93">
        <v>233</v>
      </c>
      <c r="AU18" s="93">
        <v>318</v>
      </c>
      <c r="AV18" s="93">
        <v>607</v>
      </c>
      <c r="AW18" s="93">
        <v>522</v>
      </c>
      <c r="AX18" s="93">
        <v>284</v>
      </c>
      <c r="AY18" s="93">
        <v>199</v>
      </c>
      <c r="AZ18" s="93">
        <v>335</v>
      </c>
      <c r="BA18" s="93"/>
      <c r="BB18" s="93">
        <v>760</v>
      </c>
      <c r="BC18" s="93">
        <v>233</v>
      </c>
      <c r="BD18" s="93">
        <v>471</v>
      </c>
      <c r="BE18" s="93">
        <v>318</v>
      </c>
      <c r="BF18" s="93"/>
      <c r="BG18" s="93"/>
      <c r="BH18" s="96"/>
    </row>
    <row r="19" spans="1:60" s="94" customFormat="1" ht="15" customHeight="1" outlineLevel="1" x14ac:dyDescent="0.2">
      <c r="A19" s="85"/>
      <c r="B19" s="593">
        <v>6</v>
      </c>
      <c r="C19" s="594"/>
      <c r="D19" s="594"/>
      <c r="E19" s="594"/>
      <c r="F19" s="594"/>
      <c r="G19" s="594"/>
      <c r="H19" s="594"/>
      <c r="I19" s="594"/>
      <c r="J19" s="594"/>
      <c r="K19" s="594"/>
      <c r="L19" s="594"/>
      <c r="M19" s="595"/>
      <c r="N19" s="95"/>
      <c r="O19" s="93"/>
      <c r="P19" s="93"/>
      <c r="Q19" s="93"/>
      <c r="R19" s="93"/>
      <c r="S19" s="93"/>
      <c r="T19" s="93"/>
      <c r="U19" s="93"/>
      <c r="V19" s="93"/>
      <c r="W19" s="93"/>
      <c r="X19" s="96"/>
      <c r="Y19" s="97"/>
      <c r="Z19" s="93"/>
      <c r="AA19" s="93"/>
      <c r="AB19" s="93"/>
      <c r="AC19" s="93">
        <v>556</v>
      </c>
      <c r="AD19" s="93">
        <v>471</v>
      </c>
      <c r="AE19" s="93"/>
      <c r="AF19" s="93">
        <v>250</v>
      </c>
      <c r="AG19" s="93">
        <v>318</v>
      </c>
      <c r="AH19" s="96"/>
      <c r="AI19" s="95">
        <v>216</v>
      </c>
      <c r="AJ19" s="93">
        <v>267</v>
      </c>
      <c r="AK19" s="93">
        <v>454</v>
      </c>
      <c r="AL19" s="93">
        <v>624</v>
      </c>
      <c r="AM19" s="93"/>
      <c r="AN19" s="93">
        <v>760</v>
      </c>
      <c r="AO19" s="93">
        <v>199</v>
      </c>
      <c r="AP19" s="98">
        <v>301</v>
      </c>
      <c r="AQ19" s="95" t="s">
        <v>131</v>
      </c>
      <c r="AR19" s="93">
        <v>828</v>
      </c>
      <c r="AS19" s="93" t="s">
        <v>131</v>
      </c>
      <c r="AT19" s="93">
        <v>216</v>
      </c>
      <c r="AU19" s="93">
        <v>399</v>
      </c>
      <c r="AV19" s="93">
        <v>725</v>
      </c>
      <c r="AW19" s="93">
        <v>250</v>
      </c>
      <c r="AX19" s="93">
        <v>369</v>
      </c>
      <c r="AY19" s="93">
        <v>590</v>
      </c>
      <c r="AZ19" s="93">
        <v>692</v>
      </c>
      <c r="BA19" s="93"/>
      <c r="BB19" s="93">
        <v>335</v>
      </c>
      <c r="BC19" s="93">
        <v>318</v>
      </c>
      <c r="BD19" s="93">
        <v>386</v>
      </c>
      <c r="BE19" s="93">
        <v>325</v>
      </c>
      <c r="BF19" s="93"/>
      <c r="BG19" s="93"/>
      <c r="BH19" s="96"/>
    </row>
    <row r="20" spans="1:60" s="94" customFormat="1" ht="15" customHeight="1" outlineLevel="1" x14ac:dyDescent="0.2">
      <c r="A20" s="85"/>
      <c r="B20" s="593">
        <v>7</v>
      </c>
      <c r="C20" s="594"/>
      <c r="D20" s="594"/>
      <c r="E20" s="594"/>
      <c r="F20" s="594"/>
      <c r="G20" s="594"/>
      <c r="H20" s="594"/>
      <c r="I20" s="594"/>
      <c r="J20" s="594"/>
      <c r="K20" s="594"/>
      <c r="L20" s="594"/>
      <c r="M20" s="595"/>
      <c r="N20" s="95"/>
      <c r="O20" s="93"/>
      <c r="P20" s="93"/>
      <c r="Q20" s="93"/>
      <c r="R20" s="93"/>
      <c r="S20" s="93"/>
      <c r="T20" s="93"/>
      <c r="U20" s="93"/>
      <c r="V20" s="93"/>
      <c r="W20" s="93"/>
      <c r="X20" s="96"/>
      <c r="Y20" s="97"/>
      <c r="Z20" s="93"/>
      <c r="AA20" s="93"/>
      <c r="AB20" s="93"/>
      <c r="AC20" s="93">
        <v>199</v>
      </c>
      <c r="AD20" s="93">
        <v>216</v>
      </c>
      <c r="AE20" s="93"/>
      <c r="AF20" s="93">
        <v>552</v>
      </c>
      <c r="AG20" s="93">
        <v>199</v>
      </c>
      <c r="AH20" s="96"/>
      <c r="AI20" s="95">
        <v>329</v>
      </c>
      <c r="AJ20" s="93">
        <v>199</v>
      </c>
      <c r="AK20" s="93">
        <v>284</v>
      </c>
      <c r="AL20" s="93">
        <v>284</v>
      </c>
      <c r="AM20" s="93"/>
      <c r="AN20" s="93">
        <v>437</v>
      </c>
      <c r="AO20" s="93">
        <v>199</v>
      </c>
      <c r="AP20" s="98">
        <v>199</v>
      </c>
      <c r="AQ20" s="95"/>
      <c r="AR20" s="93">
        <v>543</v>
      </c>
      <c r="AS20" s="93"/>
      <c r="AT20" s="93">
        <v>352</v>
      </c>
      <c r="AU20" s="93">
        <v>233</v>
      </c>
      <c r="AV20" s="93">
        <v>233</v>
      </c>
      <c r="AW20" s="93">
        <v>420</v>
      </c>
      <c r="AX20" s="93">
        <v>369</v>
      </c>
      <c r="AY20" s="93">
        <v>471</v>
      </c>
      <c r="AZ20" s="93">
        <v>425</v>
      </c>
      <c r="BA20" s="93"/>
      <c r="BB20" s="93">
        <v>335</v>
      </c>
      <c r="BC20" s="93" t="s">
        <v>131</v>
      </c>
      <c r="BD20" s="93">
        <v>369</v>
      </c>
      <c r="BE20" s="93">
        <v>199</v>
      </c>
      <c r="BF20" s="93"/>
      <c r="BG20" s="93"/>
      <c r="BH20" s="96"/>
    </row>
    <row r="21" spans="1:60" s="94" customFormat="1" ht="15" customHeight="1" outlineLevel="1" x14ac:dyDescent="0.2">
      <c r="A21" s="85"/>
      <c r="B21" s="593">
        <v>8</v>
      </c>
      <c r="C21" s="594"/>
      <c r="D21" s="594"/>
      <c r="E21" s="594"/>
      <c r="F21" s="594"/>
      <c r="G21" s="594"/>
      <c r="H21" s="594"/>
      <c r="I21" s="594"/>
      <c r="J21" s="594"/>
      <c r="K21" s="594"/>
      <c r="L21" s="594"/>
      <c r="M21" s="595"/>
      <c r="N21" s="95"/>
      <c r="O21" s="93"/>
      <c r="P21" s="93"/>
      <c r="Q21" s="93"/>
      <c r="R21" s="93"/>
      <c r="S21" s="93"/>
      <c r="T21" s="93"/>
      <c r="U21" s="93"/>
      <c r="V21" s="93"/>
      <c r="W21" s="93"/>
      <c r="X21" s="96"/>
      <c r="Y21" s="97"/>
      <c r="Z21" s="93"/>
      <c r="AA21" s="93"/>
      <c r="AB21" s="93"/>
      <c r="AC21" s="93">
        <v>400</v>
      </c>
      <c r="AD21" s="93">
        <v>199</v>
      </c>
      <c r="AE21" s="93"/>
      <c r="AF21" s="93">
        <v>661</v>
      </c>
      <c r="AG21" s="93">
        <v>486</v>
      </c>
      <c r="AH21" s="96"/>
      <c r="AI21" s="95">
        <v>454</v>
      </c>
      <c r="AJ21" s="93">
        <v>233</v>
      </c>
      <c r="AK21" s="93">
        <v>301</v>
      </c>
      <c r="AL21" s="93">
        <v>675</v>
      </c>
      <c r="AM21" s="93"/>
      <c r="AN21" s="93">
        <v>250</v>
      </c>
      <c r="AO21" s="93">
        <v>590</v>
      </c>
      <c r="AP21" s="98">
        <v>199</v>
      </c>
      <c r="AQ21" s="95"/>
      <c r="AR21" s="93">
        <v>625</v>
      </c>
      <c r="AS21" s="93"/>
      <c r="AT21" s="93">
        <v>624</v>
      </c>
      <c r="AU21" s="93">
        <v>216</v>
      </c>
      <c r="AV21" s="93">
        <v>199</v>
      </c>
      <c r="AW21" s="93">
        <v>1134</v>
      </c>
      <c r="AX21" s="93">
        <v>318</v>
      </c>
      <c r="AY21" s="93">
        <v>437</v>
      </c>
      <c r="AZ21" s="93">
        <v>1000</v>
      </c>
      <c r="BA21" s="93"/>
      <c r="BB21" s="93">
        <v>1150</v>
      </c>
      <c r="BC21" s="93"/>
      <c r="BD21" s="93">
        <v>216</v>
      </c>
      <c r="BE21" s="93">
        <v>1535</v>
      </c>
      <c r="BF21" s="93"/>
      <c r="BG21" s="93"/>
      <c r="BH21" s="96"/>
    </row>
    <row r="22" spans="1:60" s="94" customFormat="1" ht="15" customHeight="1" outlineLevel="1" x14ac:dyDescent="0.2">
      <c r="A22" s="85"/>
      <c r="B22" s="593">
        <v>9</v>
      </c>
      <c r="C22" s="594"/>
      <c r="D22" s="594"/>
      <c r="E22" s="594"/>
      <c r="F22" s="594"/>
      <c r="G22" s="594"/>
      <c r="H22" s="594"/>
      <c r="I22" s="594"/>
      <c r="J22" s="594"/>
      <c r="K22" s="594"/>
      <c r="L22" s="594"/>
      <c r="M22" s="595"/>
      <c r="N22" s="95"/>
      <c r="O22" s="93"/>
      <c r="P22" s="93"/>
      <c r="Q22" s="93"/>
      <c r="R22" s="93"/>
      <c r="S22" s="93"/>
      <c r="T22" s="93"/>
      <c r="U22" s="93"/>
      <c r="V22" s="93"/>
      <c r="W22" s="93"/>
      <c r="X22" s="96"/>
      <c r="Y22" s="97"/>
      <c r="Z22" s="93"/>
      <c r="AA22" s="93"/>
      <c r="AB22" s="93"/>
      <c r="AC22" s="93">
        <v>350</v>
      </c>
      <c r="AD22" s="93">
        <v>199</v>
      </c>
      <c r="AE22" s="93"/>
      <c r="AF22" s="93">
        <v>301</v>
      </c>
      <c r="AG22" s="93">
        <v>760</v>
      </c>
      <c r="AH22" s="96"/>
      <c r="AI22" s="95">
        <v>199</v>
      </c>
      <c r="AJ22" s="93">
        <v>437</v>
      </c>
      <c r="AK22" s="93">
        <v>233</v>
      </c>
      <c r="AL22" s="93">
        <v>299</v>
      </c>
      <c r="AM22" s="93"/>
      <c r="AN22" s="93">
        <v>743</v>
      </c>
      <c r="AO22" s="93">
        <v>692</v>
      </c>
      <c r="AP22" s="98">
        <v>675</v>
      </c>
      <c r="AQ22" s="95"/>
      <c r="AR22" s="93">
        <v>199</v>
      </c>
      <c r="AS22" s="93"/>
      <c r="AT22" s="93">
        <v>199</v>
      </c>
      <c r="AU22" s="93">
        <v>573</v>
      </c>
      <c r="AV22" s="93">
        <v>529</v>
      </c>
      <c r="AW22" s="93">
        <v>301</v>
      </c>
      <c r="AX22" s="93">
        <v>199</v>
      </c>
      <c r="AY22" s="93">
        <v>486</v>
      </c>
      <c r="AZ22" s="93">
        <v>1000</v>
      </c>
      <c r="BA22" s="93"/>
      <c r="BB22" s="93">
        <v>420</v>
      </c>
      <c r="BC22" s="93"/>
      <c r="BD22" s="93">
        <v>369</v>
      </c>
      <c r="BE22" s="93" t="s">
        <v>131</v>
      </c>
      <c r="BF22" s="93"/>
      <c r="BG22" s="93"/>
      <c r="BH22" s="96"/>
    </row>
    <row r="23" spans="1:60" s="94" customFormat="1" ht="15" customHeight="1" outlineLevel="1" x14ac:dyDescent="0.2">
      <c r="A23" s="85"/>
      <c r="B23" s="593">
        <v>10</v>
      </c>
      <c r="C23" s="594"/>
      <c r="D23" s="594"/>
      <c r="E23" s="594"/>
      <c r="F23" s="594"/>
      <c r="G23" s="594"/>
      <c r="H23" s="594"/>
      <c r="I23" s="594"/>
      <c r="J23" s="594"/>
      <c r="K23" s="594"/>
      <c r="L23" s="594"/>
      <c r="M23" s="595"/>
      <c r="N23" s="95"/>
      <c r="O23" s="93"/>
      <c r="P23" s="93"/>
      <c r="Q23" s="93"/>
      <c r="R23" s="93"/>
      <c r="S23" s="93"/>
      <c r="T23" s="93"/>
      <c r="U23" s="93"/>
      <c r="V23" s="93"/>
      <c r="W23" s="93"/>
      <c r="X23" s="96"/>
      <c r="Y23" s="97"/>
      <c r="Z23" s="93"/>
      <c r="AA23" s="93"/>
      <c r="AB23" s="93"/>
      <c r="AC23" s="93">
        <v>199</v>
      </c>
      <c r="AD23" s="93">
        <v>199</v>
      </c>
      <c r="AE23" s="93"/>
      <c r="AF23" s="93">
        <v>420</v>
      </c>
      <c r="AG23" s="93">
        <v>675</v>
      </c>
      <c r="AH23" s="96"/>
      <c r="AI23" s="95" t="s">
        <v>131</v>
      </c>
      <c r="AJ23" s="93">
        <v>301</v>
      </c>
      <c r="AK23" s="93">
        <v>199</v>
      </c>
      <c r="AL23" s="93">
        <v>386</v>
      </c>
      <c r="AM23" s="93"/>
      <c r="AN23" s="93">
        <v>199</v>
      </c>
      <c r="AO23" s="93">
        <v>199</v>
      </c>
      <c r="AP23" s="98">
        <v>233</v>
      </c>
      <c r="AQ23" s="95"/>
      <c r="AR23" s="93">
        <v>250</v>
      </c>
      <c r="AS23" s="93"/>
      <c r="AT23" s="93">
        <v>216</v>
      </c>
      <c r="AU23" s="93">
        <v>522</v>
      </c>
      <c r="AV23" s="93" t="s">
        <v>131</v>
      </c>
      <c r="AW23" s="93">
        <v>950</v>
      </c>
      <c r="AX23" s="93">
        <v>199</v>
      </c>
      <c r="AY23" s="93">
        <v>879</v>
      </c>
      <c r="AZ23" s="93">
        <v>877</v>
      </c>
      <c r="BA23" s="93"/>
      <c r="BB23" s="93">
        <v>437</v>
      </c>
      <c r="BC23" s="93"/>
      <c r="BD23" s="93">
        <v>471</v>
      </c>
      <c r="BE23" s="93"/>
      <c r="BF23" s="93"/>
      <c r="BG23" s="93"/>
      <c r="BH23" s="96"/>
    </row>
    <row r="24" spans="1:60" s="94" customFormat="1" ht="15" customHeight="1" outlineLevel="1" x14ac:dyDescent="0.2">
      <c r="A24" s="85"/>
      <c r="B24" s="593">
        <v>11</v>
      </c>
      <c r="C24" s="594"/>
      <c r="D24" s="594"/>
      <c r="E24" s="594"/>
      <c r="F24" s="594"/>
      <c r="G24" s="594"/>
      <c r="H24" s="594"/>
      <c r="I24" s="594"/>
      <c r="J24" s="594"/>
      <c r="K24" s="594"/>
      <c r="L24" s="594"/>
      <c r="M24" s="595"/>
      <c r="N24" s="95"/>
      <c r="O24" s="93"/>
      <c r="P24" s="93"/>
      <c r="Q24" s="93"/>
      <c r="R24" s="93"/>
      <c r="S24" s="93"/>
      <c r="T24" s="93"/>
      <c r="U24" s="93"/>
      <c r="V24" s="93"/>
      <c r="W24" s="93"/>
      <c r="X24" s="96"/>
      <c r="Y24" s="97"/>
      <c r="Z24" s="93"/>
      <c r="AA24" s="93"/>
      <c r="AB24" s="93"/>
      <c r="AC24" s="93" t="s">
        <v>131</v>
      </c>
      <c r="AD24" s="93">
        <v>522</v>
      </c>
      <c r="AE24" s="93"/>
      <c r="AF24" s="93">
        <v>318</v>
      </c>
      <c r="AG24" s="93" t="s">
        <v>132</v>
      </c>
      <c r="AH24" s="96"/>
      <c r="AI24" s="95"/>
      <c r="AJ24" s="93">
        <v>625</v>
      </c>
      <c r="AK24" s="93">
        <v>199</v>
      </c>
      <c r="AL24" s="93">
        <v>522</v>
      </c>
      <c r="AM24" s="93"/>
      <c r="AN24" s="93">
        <v>450</v>
      </c>
      <c r="AO24" s="93">
        <v>500</v>
      </c>
      <c r="AP24" s="98">
        <v>199</v>
      </c>
      <c r="AQ24" s="95"/>
      <c r="AR24" s="93">
        <v>199</v>
      </c>
      <c r="AS24" s="93"/>
      <c r="AT24" s="93">
        <v>335</v>
      </c>
      <c r="AU24" s="93">
        <v>454</v>
      </c>
      <c r="AV24" s="93"/>
      <c r="AW24" s="93" t="s">
        <v>131</v>
      </c>
      <c r="AX24" s="93">
        <v>334</v>
      </c>
      <c r="AY24" s="93">
        <v>984</v>
      </c>
      <c r="AZ24" s="93">
        <v>471</v>
      </c>
      <c r="BA24" s="93"/>
      <c r="BB24" s="93">
        <v>876</v>
      </c>
      <c r="BC24" s="93"/>
      <c r="BD24" s="93">
        <v>454</v>
      </c>
      <c r="BE24" s="93"/>
      <c r="BF24" s="93"/>
      <c r="BG24" s="93"/>
      <c r="BH24" s="96"/>
    </row>
    <row r="25" spans="1:60" s="94" customFormat="1" ht="15" customHeight="1" outlineLevel="1" x14ac:dyDescent="0.2">
      <c r="A25" s="85"/>
      <c r="B25" s="593">
        <v>12</v>
      </c>
      <c r="C25" s="594"/>
      <c r="D25" s="594"/>
      <c r="E25" s="594"/>
      <c r="F25" s="594"/>
      <c r="G25" s="594"/>
      <c r="H25" s="594"/>
      <c r="I25" s="594"/>
      <c r="J25" s="594"/>
      <c r="K25" s="594"/>
      <c r="L25" s="594"/>
      <c r="M25" s="595"/>
      <c r="N25" s="95"/>
      <c r="O25" s="93"/>
      <c r="P25" s="93"/>
      <c r="Q25" s="93"/>
      <c r="R25" s="93"/>
      <c r="S25" s="93"/>
      <c r="T25" s="93"/>
      <c r="U25" s="93"/>
      <c r="V25" s="93"/>
      <c r="W25" s="93"/>
      <c r="X25" s="96"/>
      <c r="Y25" s="97"/>
      <c r="Z25" s="93"/>
      <c r="AA25" s="93"/>
      <c r="AB25" s="93"/>
      <c r="AC25" s="93"/>
      <c r="AD25" s="93">
        <v>375</v>
      </c>
      <c r="AE25" s="93"/>
      <c r="AF25" s="93" t="s">
        <v>131</v>
      </c>
      <c r="AG25" s="93"/>
      <c r="AH25" s="96"/>
      <c r="AI25" s="95"/>
      <c r="AJ25" s="93">
        <v>199</v>
      </c>
      <c r="AK25" s="93">
        <v>318</v>
      </c>
      <c r="AL25" s="93">
        <v>301</v>
      </c>
      <c r="AM25" s="93"/>
      <c r="AN25" s="93"/>
      <c r="AO25" s="93">
        <v>403</v>
      </c>
      <c r="AP25" s="98">
        <v>410</v>
      </c>
      <c r="AQ25" s="95"/>
      <c r="AR25" s="93">
        <v>325</v>
      </c>
      <c r="AS25" s="93"/>
      <c r="AT25" s="93" t="s">
        <v>131</v>
      </c>
      <c r="AU25" s="93">
        <v>233</v>
      </c>
      <c r="AV25" s="93"/>
      <c r="AW25" s="93"/>
      <c r="AX25" s="93">
        <v>450</v>
      </c>
      <c r="AY25" s="93">
        <v>454</v>
      </c>
      <c r="AZ25" s="93" t="s">
        <v>131</v>
      </c>
      <c r="BA25" s="93"/>
      <c r="BB25" s="93">
        <v>709</v>
      </c>
      <c r="BC25" s="93"/>
      <c r="BD25" s="93">
        <v>911</v>
      </c>
      <c r="BE25" s="93"/>
      <c r="BF25" s="93"/>
      <c r="BG25" s="93"/>
      <c r="BH25" s="96"/>
    </row>
    <row r="26" spans="1:60" s="94" customFormat="1" ht="15" customHeight="1" outlineLevel="1" x14ac:dyDescent="0.2">
      <c r="A26" s="85"/>
      <c r="B26" s="593">
        <v>13</v>
      </c>
      <c r="C26" s="594"/>
      <c r="D26" s="594"/>
      <c r="E26" s="594"/>
      <c r="F26" s="594"/>
      <c r="G26" s="594"/>
      <c r="H26" s="594"/>
      <c r="I26" s="594"/>
      <c r="J26" s="594"/>
      <c r="K26" s="594"/>
      <c r="L26" s="594"/>
      <c r="M26" s="595"/>
      <c r="N26" s="95"/>
      <c r="O26" s="93"/>
      <c r="P26" s="93"/>
      <c r="Q26" s="93"/>
      <c r="R26" s="93"/>
      <c r="S26" s="93"/>
      <c r="T26" s="93"/>
      <c r="U26" s="93"/>
      <c r="V26" s="93"/>
      <c r="W26" s="93"/>
      <c r="X26" s="96"/>
      <c r="Y26" s="97"/>
      <c r="Z26" s="93"/>
      <c r="AA26" s="93"/>
      <c r="AB26" s="93"/>
      <c r="AC26" s="93"/>
      <c r="AD26" s="93">
        <v>267</v>
      </c>
      <c r="AE26" s="93"/>
      <c r="AF26" s="93"/>
      <c r="AG26" s="93"/>
      <c r="AH26" s="96"/>
      <c r="AI26" s="95"/>
      <c r="AJ26" s="93">
        <v>369</v>
      </c>
      <c r="AK26" s="93">
        <v>199</v>
      </c>
      <c r="AL26" s="93">
        <v>199</v>
      </c>
      <c r="AM26" s="93"/>
      <c r="AN26" s="93"/>
      <c r="AO26" s="93">
        <v>216</v>
      </c>
      <c r="AP26" s="98">
        <v>301</v>
      </c>
      <c r="AQ26" s="95"/>
      <c r="AR26" s="93">
        <v>725</v>
      </c>
      <c r="AS26" s="93"/>
      <c r="AT26" s="93"/>
      <c r="AU26" s="93">
        <v>1100</v>
      </c>
      <c r="AV26" s="93"/>
      <c r="AW26" s="93"/>
      <c r="AX26" s="93">
        <v>386</v>
      </c>
      <c r="AY26" s="93">
        <v>514</v>
      </c>
      <c r="AZ26" s="93"/>
      <c r="BA26" s="93"/>
      <c r="BB26" s="93">
        <v>352</v>
      </c>
      <c r="BC26" s="93"/>
      <c r="BD26" s="93">
        <v>369</v>
      </c>
      <c r="BE26" s="93"/>
      <c r="BF26" s="93"/>
      <c r="BG26" s="93"/>
      <c r="BH26" s="96"/>
    </row>
    <row r="27" spans="1:60" s="94" customFormat="1" ht="15" customHeight="1" outlineLevel="1" x14ac:dyDescent="0.2">
      <c r="A27" s="85"/>
      <c r="B27" s="593">
        <v>14</v>
      </c>
      <c r="C27" s="594"/>
      <c r="D27" s="594"/>
      <c r="E27" s="594"/>
      <c r="F27" s="594"/>
      <c r="G27" s="594"/>
      <c r="H27" s="594"/>
      <c r="I27" s="594"/>
      <c r="J27" s="594"/>
      <c r="K27" s="594"/>
      <c r="L27" s="594"/>
      <c r="M27" s="595"/>
      <c r="N27" s="95"/>
      <c r="O27" s="93"/>
      <c r="P27" s="93"/>
      <c r="Q27" s="93"/>
      <c r="R27" s="93"/>
      <c r="S27" s="93"/>
      <c r="T27" s="93"/>
      <c r="U27" s="93"/>
      <c r="V27" s="93"/>
      <c r="W27" s="93"/>
      <c r="X27" s="96"/>
      <c r="Y27" s="97"/>
      <c r="Z27" s="93"/>
      <c r="AA27" s="93"/>
      <c r="AB27" s="93"/>
      <c r="AC27" s="93"/>
      <c r="AD27" s="93">
        <v>199</v>
      </c>
      <c r="AE27" s="93"/>
      <c r="AF27" s="93"/>
      <c r="AG27" s="93"/>
      <c r="AH27" s="96"/>
      <c r="AI27" s="95"/>
      <c r="AJ27" s="93">
        <v>875</v>
      </c>
      <c r="AK27" s="93">
        <v>725</v>
      </c>
      <c r="AL27" s="93">
        <v>859</v>
      </c>
      <c r="AM27" s="93"/>
      <c r="AN27" s="93"/>
      <c r="AO27" s="93">
        <v>437</v>
      </c>
      <c r="AP27" s="98">
        <v>216</v>
      </c>
      <c r="AQ27" s="95"/>
      <c r="AR27" s="93" t="s">
        <v>131</v>
      </c>
      <c r="AS27" s="93"/>
      <c r="AT27" s="93"/>
      <c r="AU27" s="93">
        <v>575</v>
      </c>
      <c r="AV27" s="93"/>
      <c r="AW27" s="93"/>
      <c r="AX27" s="93">
        <v>403</v>
      </c>
      <c r="AY27" s="93" t="s">
        <v>131</v>
      </c>
      <c r="AZ27" s="93"/>
      <c r="BA27" s="93"/>
      <c r="BB27" s="93">
        <v>199</v>
      </c>
      <c r="BC27" s="93"/>
      <c r="BD27" s="93" t="s">
        <v>131</v>
      </c>
      <c r="BE27" s="93"/>
      <c r="BF27" s="93"/>
      <c r="BG27" s="93"/>
      <c r="BH27" s="96"/>
    </row>
    <row r="28" spans="1:60" s="94" customFormat="1" ht="15" customHeight="1" outlineLevel="1" x14ac:dyDescent="0.2">
      <c r="A28" s="85"/>
      <c r="B28" s="593">
        <v>15</v>
      </c>
      <c r="C28" s="594"/>
      <c r="D28" s="594"/>
      <c r="E28" s="594"/>
      <c r="F28" s="594"/>
      <c r="G28" s="594"/>
      <c r="H28" s="594"/>
      <c r="I28" s="594"/>
      <c r="J28" s="594"/>
      <c r="K28" s="594"/>
      <c r="L28" s="594"/>
      <c r="M28" s="595"/>
      <c r="N28" s="95"/>
      <c r="O28" s="93"/>
      <c r="P28" s="93"/>
      <c r="Q28" s="93"/>
      <c r="R28" s="93"/>
      <c r="S28" s="93"/>
      <c r="T28" s="93"/>
      <c r="U28" s="93"/>
      <c r="V28" s="93"/>
      <c r="W28" s="93"/>
      <c r="X28" s="96"/>
      <c r="Y28" s="97"/>
      <c r="Z28" s="93"/>
      <c r="AA28" s="93"/>
      <c r="AB28" s="93"/>
      <c r="AC28" s="93"/>
      <c r="AD28" s="93">
        <v>656</v>
      </c>
      <c r="AE28" s="93"/>
      <c r="AF28" s="93"/>
      <c r="AG28" s="93"/>
      <c r="AH28" s="96"/>
      <c r="AI28" s="95"/>
      <c r="AJ28" s="93">
        <v>250</v>
      </c>
      <c r="AK28" s="93">
        <v>233</v>
      </c>
      <c r="AL28" s="93" t="s">
        <v>131</v>
      </c>
      <c r="AM28" s="93"/>
      <c r="AN28" s="93"/>
      <c r="AO28" s="93">
        <v>424</v>
      </c>
      <c r="AP28" s="98">
        <v>842</v>
      </c>
      <c r="AQ28" s="95"/>
      <c r="AR28" s="93"/>
      <c r="AS28" s="93"/>
      <c r="AT28" s="93"/>
      <c r="AU28" s="93" t="s">
        <v>131</v>
      </c>
      <c r="AV28" s="93"/>
      <c r="AW28" s="93"/>
      <c r="AX28" s="93">
        <v>471</v>
      </c>
      <c r="AY28" s="93"/>
      <c r="AZ28" s="93"/>
      <c r="BA28" s="93"/>
      <c r="BB28" s="93">
        <v>199</v>
      </c>
      <c r="BC28" s="93"/>
      <c r="BD28" s="93"/>
      <c r="BE28" s="93"/>
      <c r="BF28" s="93"/>
      <c r="BG28" s="93"/>
      <c r="BH28" s="96"/>
    </row>
    <row r="29" spans="1:60" s="94" customFormat="1" ht="15" customHeight="1" outlineLevel="1" x14ac:dyDescent="0.2">
      <c r="A29" s="85"/>
      <c r="B29" s="593">
        <v>16</v>
      </c>
      <c r="C29" s="594"/>
      <c r="D29" s="594"/>
      <c r="E29" s="594"/>
      <c r="F29" s="594"/>
      <c r="G29" s="594"/>
      <c r="H29" s="594"/>
      <c r="I29" s="594"/>
      <c r="J29" s="594"/>
      <c r="K29" s="594"/>
      <c r="L29" s="594"/>
      <c r="M29" s="595"/>
      <c r="N29" s="95"/>
      <c r="O29" s="93"/>
      <c r="P29" s="93"/>
      <c r="Q29" s="93"/>
      <c r="R29" s="93"/>
      <c r="S29" s="93"/>
      <c r="T29" s="93"/>
      <c r="U29" s="93"/>
      <c r="V29" s="93"/>
      <c r="W29" s="93"/>
      <c r="X29" s="96"/>
      <c r="Y29" s="97"/>
      <c r="Z29" s="93"/>
      <c r="AA29" s="93"/>
      <c r="AB29" s="93"/>
      <c r="AC29" s="93"/>
      <c r="AD29" s="93" t="s">
        <v>131</v>
      </c>
      <c r="AE29" s="93"/>
      <c r="AF29" s="93"/>
      <c r="AG29" s="93"/>
      <c r="AH29" s="96"/>
      <c r="AI29" s="95"/>
      <c r="AJ29" s="93">
        <v>199</v>
      </c>
      <c r="AK29" s="93">
        <v>250</v>
      </c>
      <c r="AL29" s="93"/>
      <c r="AM29" s="93"/>
      <c r="AN29" s="93"/>
      <c r="AO29" s="93" t="s">
        <v>131</v>
      </c>
      <c r="AP29" s="98">
        <v>500</v>
      </c>
      <c r="AQ29" s="95"/>
      <c r="AR29" s="93"/>
      <c r="AS29" s="93"/>
      <c r="AT29" s="93"/>
      <c r="AU29" s="93"/>
      <c r="AV29" s="93"/>
      <c r="AW29" s="93"/>
      <c r="AX29" s="93">
        <v>386</v>
      </c>
      <c r="AY29" s="93"/>
      <c r="AZ29" s="93"/>
      <c r="BA29" s="93"/>
      <c r="BB29" s="93">
        <v>199</v>
      </c>
      <c r="BC29" s="93"/>
      <c r="BD29" s="93"/>
      <c r="BE29" s="93"/>
      <c r="BF29" s="93"/>
      <c r="BG29" s="93"/>
      <c r="BH29" s="96"/>
    </row>
    <row r="30" spans="1:60" s="94" customFormat="1" ht="15" customHeight="1" outlineLevel="1" x14ac:dyDescent="0.2">
      <c r="A30" s="85"/>
      <c r="B30" s="593">
        <v>17</v>
      </c>
      <c r="C30" s="594"/>
      <c r="D30" s="594"/>
      <c r="E30" s="594"/>
      <c r="F30" s="594"/>
      <c r="G30" s="594"/>
      <c r="H30" s="594"/>
      <c r="I30" s="594"/>
      <c r="J30" s="594"/>
      <c r="K30" s="594"/>
      <c r="L30" s="594"/>
      <c r="M30" s="595"/>
      <c r="N30" s="95"/>
      <c r="O30" s="93"/>
      <c r="P30" s="93"/>
      <c r="Q30" s="93"/>
      <c r="R30" s="93"/>
      <c r="S30" s="93"/>
      <c r="T30" s="93"/>
      <c r="U30" s="93"/>
      <c r="V30" s="93"/>
      <c r="W30" s="93"/>
      <c r="X30" s="96"/>
      <c r="Y30" s="97"/>
      <c r="Z30" s="93"/>
      <c r="AA30" s="93"/>
      <c r="AB30" s="93"/>
      <c r="AC30" s="93"/>
      <c r="AD30" s="93"/>
      <c r="AE30" s="93"/>
      <c r="AF30" s="93"/>
      <c r="AG30" s="93"/>
      <c r="AH30" s="96"/>
      <c r="AI30" s="95"/>
      <c r="AJ30" s="93">
        <v>638</v>
      </c>
      <c r="AK30" s="93">
        <v>522</v>
      </c>
      <c r="AL30" s="93"/>
      <c r="AM30" s="93"/>
      <c r="AN30" s="93"/>
      <c r="AO30" s="93"/>
      <c r="AP30" s="98">
        <v>522</v>
      </c>
      <c r="AQ30" s="95"/>
      <c r="AR30" s="93"/>
      <c r="AS30" s="93"/>
      <c r="AT30" s="93"/>
      <c r="AU30" s="93"/>
      <c r="AV30" s="93"/>
      <c r="AW30" s="93"/>
      <c r="AX30" s="93">
        <v>199</v>
      </c>
      <c r="AY30" s="93"/>
      <c r="AZ30" s="93"/>
      <c r="BA30" s="93"/>
      <c r="BB30" s="93" t="s">
        <v>131</v>
      </c>
      <c r="BC30" s="93"/>
      <c r="BD30" s="93"/>
      <c r="BE30" s="93"/>
      <c r="BF30" s="93"/>
      <c r="BG30" s="93"/>
      <c r="BH30" s="96"/>
    </row>
    <row r="31" spans="1:60" s="94" customFormat="1" ht="15" customHeight="1" outlineLevel="1" x14ac:dyDescent="0.2">
      <c r="A31" s="85"/>
      <c r="B31" s="593">
        <v>18</v>
      </c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95"/>
      <c r="N31" s="95"/>
      <c r="O31" s="93"/>
      <c r="P31" s="93"/>
      <c r="Q31" s="93"/>
      <c r="R31" s="93"/>
      <c r="S31" s="93"/>
      <c r="T31" s="93"/>
      <c r="U31" s="93"/>
      <c r="V31" s="93"/>
      <c r="W31" s="93"/>
      <c r="X31" s="96"/>
      <c r="Y31" s="97"/>
      <c r="Z31" s="93"/>
      <c r="AA31" s="93"/>
      <c r="AB31" s="93"/>
      <c r="AC31" s="93"/>
      <c r="AD31" s="93"/>
      <c r="AE31" s="93"/>
      <c r="AF31" s="93"/>
      <c r="AG31" s="93"/>
      <c r="AH31" s="96"/>
      <c r="AI31" s="95"/>
      <c r="AJ31" s="93">
        <v>775</v>
      </c>
      <c r="AK31" s="93" t="s">
        <v>131</v>
      </c>
      <c r="AL31" s="93"/>
      <c r="AM31" s="93"/>
      <c r="AN31" s="93"/>
      <c r="AO31" s="93"/>
      <c r="AP31" s="98">
        <v>450</v>
      </c>
      <c r="AQ31" s="95"/>
      <c r="AR31" s="93"/>
      <c r="AS31" s="93"/>
      <c r="AT31" s="93"/>
      <c r="AU31" s="93"/>
      <c r="AV31" s="93"/>
      <c r="AW31" s="93"/>
      <c r="AX31" s="93">
        <v>267</v>
      </c>
      <c r="AY31" s="93"/>
      <c r="AZ31" s="93"/>
      <c r="BA31" s="93"/>
      <c r="BB31" s="93"/>
      <c r="BC31" s="93"/>
      <c r="BD31" s="93"/>
      <c r="BE31" s="93"/>
      <c r="BF31" s="93"/>
      <c r="BG31" s="93"/>
      <c r="BH31" s="96"/>
    </row>
    <row r="32" spans="1:60" s="94" customFormat="1" ht="15" customHeight="1" outlineLevel="1" x14ac:dyDescent="0.2">
      <c r="A32" s="85"/>
      <c r="B32" s="593">
        <v>19</v>
      </c>
      <c r="C32" s="594"/>
      <c r="D32" s="594"/>
      <c r="E32" s="594"/>
      <c r="F32" s="594"/>
      <c r="G32" s="594"/>
      <c r="H32" s="594"/>
      <c r="I32" s="594"/>
      <c r="J32" s="594"/>
      <c r="K32" s="594"/>
      <c r="L32" s="594"/>
      <c r="M32" s="595"/>
      <c r="N32" s="95"/>
      <c r="O32" s="93"/>
      <c r="P32" s="93"/>
      <c r="Q32" s="93"/>
      <c r="R32" s="93"/>
      <c r="S32" s="93"/>
      <c r="T32" s="93"/>
      <c r="U32" s="93"/>
      <c r="V32" s="93"/>
      <c r="W32" s="93"/>
      <c r="X32" s="96"/>
      <c r="Y32" s="97"/>
      <c r="Z32" s="93"/>
      <c r="AA32" s="93"/>
      <c r="AB32" s="93"/>
      <c r="AC32" s="93"/>
      <c r="AD32" s="93"/>
      <c r="AE32" s="93"/>
      <c r="AF32" s="93"/>
      <c r="AG32" s="93"/>
      <c r="AH32" s="96"/>
      <c r="AI32" s="95"/>
      <c r="AJ32" s="93">
        <v>1219</v>
      </c>
      <c r="AK32" s="93"/>
      <c r="AL32" s="93"/>
      <c r="AM32" s="93"/>
      <c r="AN32" s="93"/>
      <c r="AO32" s="93"/>
      <c r="AP32" s="98">
        <v>1152</v>
      </c>
      <c r="AQ32" s="95"/>
      <c r="AR32" s="93"/>
      <c r="AS32" s="93"/>
      <c r="AT32" s="93"/>
      <c r="AU32" s="93"/>
      <c r="AV32" s="93"/>
      <c r="AW32" s="93"/>
      <c r="AX32" s="93">
        <v>199</v>
      </c>
      <c r="AY32" s="93"/>
      <c r="AZ32" s="93"/>
      <c r="BA32" s="93"/>
      <c r="BB32" s="93"/>
      <c r="BC32" s="93"/>
      <c r="BD32" s="93"/>
      <c r="BE32" s="93"/>
      <c r="BF32" s="93"/>
      <c r="BG32" s="93"/>
      <c r="BH32" s="96"/>
    </row>
    <row r="33" spans="1:61" s="94" customFormat="1" ht="15" customHeight="1" outlineLevel="1" x14ac:dyDescent="0.2">
      <c r="A33" s="85"/>
      <c r="B33" s="593">
        <v>20</v>
      </c>
      <c r="C33" s="594"/>
      <c r="D33" s="594"/>
      <c r="E33" s="594"/>
      <c r="F33" s="594"/>
      <c r="G33" s="594"/>
      <c r="H33" s="594"/>
      <c r="I33" s="594"/>
      <c r="J33" s="594"/>
      <c r="K33" s="594"/>
      <c r="L33" s="594"/>
      <c r="M33" s="595"/>
      <c r="N33" s="99"/>
      <c r="O33" s="100"/>
      <c r="P33" s="100"/>
      <c r="Q33" s="100"/>
      <c r="R33" s="100"/>
      <c r="S33" s="100"/>
      <c r="T33" s="100"/>
      <c r="U33" s="100"/>
      <c r="V33" s="100"/>
      <c r="W33" s="100"/>
      <c r="X33" s="101"/>
      <c r="Y33" s="102"/>
      <c r="Z33" s="100"/>
      <c r="AA33" s="100"/>
      <c r="AB33" s="100"/>
      <c r="AC33" s="100"/>
      <c r="AD33" s="100"/>
      <c r="AE33" s="100"/>
      <c r="AF33" s="100"/>
      <c r="AG33" s="100"/>
      <c r="AH33" s="101"/>
      <c r="AI33" s="99"/>
      <c r="AJ33" s="100" t="s">
        <v>131</v>
      </c>
      <c r="AK33" s="100"/>
      <c r="AL33" s="100"/>
      <c r="AM33" s="100"/>
      <c r="AN33" s="100"/>
      <c r="AO33" s="100"/>
      <c r="AP33" s="103">
        <v>675</v>
      </c>
      <c r="AQ33" s="99"/>
      <c r="AR33" s="100"/>
      <c r="AS33" s="100"/>
      <c r="AT33" s="100"/>
      <c r="AU33" s="100"/>
      <c r="AV33" s="100"/>
      <c r="AW33" s="100"/>
      <c r="AX33" s="100">
        <v>424</v>
      </c>
      <c r="AY33" s="100"/>
      <c r="AZ33" s="100"/>
      <c r="BA33" s="100"/>
      <c r="BB33" s="100"/>
      <c r="BC33" s="100"/>
      <c r="BD33" s="100"/>
      <c r="BE33" s="100"/>
      <c r="BF33" s="100"/>
      <c r="BG33" s="100"/>
      <c r="BH33" s="101"/>
    </row>
    <row r="34" spans="1:61" s="94" customFormat="1" ht="15" customHeight="1" outlineLevel="1" x14ac:dyDescent="0.2">
      <c r="A34" s="85"/>
      <c r="B34" s="593">
        <v>21</v>
      </c>
      <c r="C34" s="594"/>
      <c r="D34" s="594"/>
      <c r="E34" s="594"/>
      <c r="F34" s="594"/>
      <c r="G34" s="594"/>
      <c r="H34" s="594"/>
      <c r="I34" s="594"/>
      <c r="J34" s="594"/>
      <c r="K34" s="594"/>
      <c r="L34" s="594"/>
      <c r="M34" s="595"/>
      <c r="N34" s="99"/>
      <c r="O34" s="100"/>
      <c r="P34" s="100"/>
      <c r="Q34" s="100"/>
      <c r="R34" s="100"/>
      <c r="S34" s="100"/>
      <c r="T34" s="100"/>
      <c r="U34" s="100"/>
      <c r="V34" s="100"/>
      <c r="W34" s="100"/>
      <c r="X34" s="101"/>
      <c r="Y34" s="102"/>
      <c r="Z34" s="100"/>
      <c r="AA34" s="100"/>
      <c r="AB34" s="100"/>
      <c r="AC34" s="100"/>
      <c r="AD34" s="100"/>
      <c r="AE34" s="100"/>
      <c r="AF34" s="100"/>
      <c r="AG34" s="100"/>
      <c r="AH34" s="101"/>
      <c r="AI34" s="99"/>
      <c r="AJ34" s="100"/>
      <c r="AK34" s="100"/>
      <c r="AL34" s="100"/>
      <c r="AM34" s="100"/>
      <c r="AN34" s="100"/>
      <c r="AO34" s="100"/>
      <c r="AP34" s="103" t="s">
        <v>131</v>
      </c>
      <c r="AQ34" s="99"/>
      <c r="AR34" s="100"/>
      <c r="AS34" s="100"/>
      <c r="AT34" s="100"/>
      <c r="AU34" s="100"/>
      <c r="AV34" s="100"/>
      <c r="AW34" s="100"/>
      <c r="AX34" s="100" t="s">
        <v>131</v>
      </c>
      <c r="AY34" s="100"/>
      <c r="AZ34" s="100"/>
      <c r="BA34" s="100"/>
      <c r="BB34" s="100"/>
      <c r="BC34" s="100"/>
      <c r="BD34" s="100"/>
      <c r="BE34" s="100"/>
      <c r="BF34" s="100"/>
      <c r="BG34" s="100"/>
      <c r="BH34" s="101"/>
    </row>
    <row r="35" spans="1:61" s="94" customFormat="1" ht="15" customHeight="1" outlineLevel="1" x14ac:dyDescent="0.2">
      <c r="A35" s="85"/>
      <c r="B35" s="593">
        <v>22</v>
      </c>
      <c r="C35" s="594"/>
      <c r="D35" s="594"/>
      <c r="E35" s="594"/>
      <c r="F35" s="594"/>
      <c r="G35" s="594"/>
      <c r="H35" s="594"/>
      <c r="I35" s="594"/>
      <c r="J35" s="594"/>
      <c r="K35" s="594"/>
      <c r="L35" s="594"/>
      <c r="M35" s="595"/>
      <c r="N35" s="99"/>
      <c r="O35" s="100"/>
      <c r="P35" s="100"/>
      <c r="Q35" s="100"/>
      <c r="R35" s="100"/>
      <c r="S35" s="100"/>
      <c r="T35" s="100"/>
      <c r="U35" s="100"/>
      <c r="V35" s="100"/>
      <c r="W35" s="100"/>
      <c r="X35" s="101"/>
      <c r="Y35" s="102"/>
      <c r="Z35" s="100"/>
      <c r="AA35" s="100"/>
      <c r="AB35" s="100"/>
      <c r="AC35" s="100"/>
      <c r="AD35" s="100"/>
      <c r="AE35" s="100"/>
      <c r="AF35" s="100"/>
      <c r="AG35" s="100"/>
      <c r="AH35" s="101"/>
      <c r="AI35" s="99"/>
      <c r="AJ35" s="100"/>
      <c r="AK35" s="100"/>
      <c r="AL35" s="100"/>
      <c r="AM35" s="100"/>
      <c r="AN35" s="100"/>
      <c r="AO35" s="100"/>
      <c r="AP35" s="103"/>
      <c r="AQ35" s="99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1"/>
    </row>
    <row r="36" spans="1:61" s="94" customFormat="1" ht="15" customHeight="1" outlineLevel="1" x14ac:dyDescent="0.2">
      <c r="A36" s="85"/>
      <c r="B36" s="593">
        <v>23</v>
      </c>
      <c r="C36" s="594"/>
      <c r="D36" s="594"/>
      <c r="E36" s="594"/>
      <c r="F36" s="594"/>
      <c r="G36" s="594"/>
      <c r="H36" s="594"/>
      <c r="I36" s="594"/>
      <c r="J36" s="594"/>
      <c r="K36" s="594"/>
      <c r="L36" s="594"/>
      <c r="M36" s="595"/>
      <c r="N36" s="99"/>
      <c r="O36" s="100"/>
      <c r="P36" s="100"/>
      <c r="Q36" s="100"/>
      <c r="R36" s="100"/>
      <c r="S36" s="100"/>
      <c r="T36" s="100"/>
      <c r="U36" s="100"/>
      <c r="V36" s="100"/>
      <c r="W36" s="100"/>
      <c r="X36" s="101"/>
      <c r="Y36" s="102"/>
      <c r="Z36" s="100"/>
      <c r="AA36" s="100"/>
      <c r="AB36" s="100"/>
      <c r="AC36" s="100"/>
      <c r="AD36" s="100"/>
      <c r="AE36" s="100"/>
      <c r="AF36" s="100"/>
      <c r="AG36" s="100"/>
      <c r="AH36" s="101"/>
      <c r="AI36" s="99"/>
      <c r="AJ36" s="100"/>
      <c r="AK36" s="100"/>
      <c r="AL36" s="100"/>
      <c r="AM36" s="100"/>
      <c r="AN36" s="100"/>
      <c r="AO36" s="100"/>
      <c r="AP36" s="103"/>
      <c r="AQ36" s="99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1"/>
    </row>
    <row r="37" spans="1:61" s="94" customFormat="1" ht="15" customHeight="1" outlineLevel="1" x14ac:dyDescent="0.2">
      <c r="B37" s="593">
        <v>24</v>
      </c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95"/>
      <c r="N37" s="95"/>
      <c r="O37" s="93"/>
      <c r="P37" s="93"/>
      <c r="Q37" s="93"/>
      <c r="R37" s="93"/>
      <c r="S37" s="93"/>
      <c r="T37" s="93"/>
      <c r="U37" s="93"/>
      <c r="V37" s="93"/>
      <c r="W37" s="93"/>
      <c r="X37" s="96"/>
      <c r="Y37" s="97"/>
      <c r="Z37" s="93"/>
      <c r="AA37" s="93"/>
      <c r="AB37" s="93"/>
      <c r="AC37" s="93"/>
      <c r="AD37" s="93"/>
      <c r="AE37" s="93"/>
      <c r="AF37" s="93"/>
      <c r="AG37" s="93"/>
      <c r="AH37" s="98"/>
      <c r="AI37" s="95"/>
      <c r="AJ37" s="93"/>
      <c r="AK37" s="93"/>
      <c r="AL37" s="93"/>
      <c r="AM37" s="93"/>
      <c r="AN37" s="93"/>
      <c r="AO37" s="93"/>
      <c r="AP37" s="98"/>
      <c r="AQ37" s="95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6"/>
    </row>
    <row r="38" spans="1:61" s="94" customFormat="1" ht="12" customHeight="1" outlineLevel="1" thickBot="1" x14ac:dyDescent="0.25">
      <c r="B38" s="601">
        <v>25</v>
      </c>
      <c r="C38" s="602"/>
      <c r="D38" s="602"/>
      <c r="E38" s="602"/>
      <c r="F38" s="602"/>
      <c r="G38" s="602"/>
      <c r="H38" s="602"/>
      <c r="I38" s="602"/>
      <c r="J38" s="602"/>
      <c r="K38" s="602"/>
      <c r="L38" s="602"/>
      <c r="M38" s="603"/>
      <c r="N38" s="104"/>
      <c r="O38" s="105"/>
      <c r="P38" s="105"/>
      <c r="Q38" s="105"/>
      <c r="R38" s="105"/>
      <c r="S38" s="105"/>
      <c r="T38" s="105"/>
      <c r="U38" s="105"/>
      <c r="V38" s="105"/>
      <c r="W38" s="105"/>
      <c r="X38" s="106"/>
      <c r="Y38" s="107"/>
      <c r="Z38" s="105"/>
      <c r="AA38" s="105"/>
      <c r="AB38" s="105"/>
      <c r="AC38" s="105"/>
      <c r="AD38" s="105"/>
      <c r="AE38" s="105"/>
      <c r="AF38" s="105"/>
      <c r="AG38" s="105"/>
      <c r="AH38" s="108"/>
      <c r="AI38" s="104"/>
      <c r="AJ38" s="105"/>
      <c r="AK38" s="105"/>
      <c r="AL38" s="105"/>
      <c r="AM38" s="105"/>
      <c r="AN38" s="105"/>
      <c r="AO38" s="105"/>
      <c r="AP38" s="108"/>
      <c r="AQ38" s="104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6"/>
    </row>
    <row r="39" spans="1:61" s="17" customFormat="1" ht="3" customHeight="1" thickBot="1" x14ac:dyDescent="0.25">
      <c r="B39" s="109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>
        <f>COUNT(N14:N38)</f>
        <v>0</v>
      </c>
      <c r="O39" s="110">
        <f t="shared" ref="O39:BH39" si="3">COUNT(O14:O38)</f>
        <v>0</v>
      </c>
      <c r="P39" s="110">
        <f t="shared" si="3"/>
        <v>0</v>
      </c>
      <c r="Q39" s="110">
        <f t="shared" si="3"/>
        <v>0</v>
      </c>
      <c r="R39" s="110">
        <f t="shared" si="3"/>
        <v>0</v>
      </c>
      <c r="S39" s="110">
        <f t="shared" si="3"/>
        <v>0</v>
      </c>
      <c r="T39" s="110">
        <f t="shared" si="3"/>
        <v>0</v>
      </c>
      <c r="U39" s="110">
        <f t="shared" si="3"/>
        <v>0</v>
      </c>
      <c r="V39" s="110">
        <f t="shared" si="3"/>
        <v>0</v>
      </c>
      <c r="W39" s="110">
        <f t="shared" si="3"/>
        <v>0</v>
      </c>
      <c r="X39" s="110">
        <f t="shared" si="3"/>
        <v>0</v>
      </c>
      <c r="Y39" s="110">
        <f t="shared" si="3"/>
        <v>0</v>
      </c>
      <c r="Z39" s="110">
        <f t="shared" si="3"/>
        <v>0</v>
      </c>
      <c r="AA39" s="110">
        <f t="shared" si="3"/>
        <v>0</v>
      </c>
      <c r="AB39" s="110">
        <f t="shared" si="3"/>
        <v>0</v>
      </c>
      <c r="AC39" s="110">
        <f t="shared" si="3"/>
        <v>10</v>
      </c>
      <c r="AD39" s="110">
        <f t="shared" si="3"/>
        <v>15</v>
      </c>
      <c r="AE39" s="110">
        <f t="shared" si="3"/>
        <v>0</v>
      </c>
      <c r="AF39" s="110">
        <f t="shared" si="3"/>
        <v>11</v>
      </c>
      <c r="AG39" s="110">
        <f t="shared" si="3"/>
        <v>10</v>
      </c>
      <c r="AH39" s="110">
        <f t="shared" si="3"/>
        <v>0</v>
      </c>
      <c r="AI39" s="110">
        <f t="shared" si="3"/>
        <v>9</v>
      </c>
      <c r="AJ39" s="110">
        <f t="shared" si="3"/>
        <v>19</v>
      </c>
      <c r="AK39" s="110">
        <f t="shared" si="3"/>
        <v>17</v>
      </c>
      <c r="AL39" s="110">
        <f t="shared" si="3"/>
        <v>14</v>
      </c>
      <c r="AM39" s="110">
        <f t="shared" si="3"/>
        <v>0</v>
      </c>
      <c r="AN39" s="110">
        <f t="shared" si="3"/>
        <v>11</v>
      </c>
      <c r="AO39" s="110">
        <f t="shared" si="3"/>
        <v>15</v>
      </c>
      <c r="AP39" s="110">
        <f t="shared" si="3"/>
        <v>20</v>
      </c>
      <c r="AQ39" s="109">
        <f t="shared" si="3"/>
        <v>5</v>
      </c>
      <c r="AR39" s="110">
        <f t="shared" si="3"/>
        <v>13</v>
      </c>
      <c r="AS39" s="110">
        <f t="shared" si="3"/>
        <v>5</v>
      </c>
      <c r="AT39" s="110">
        <f t="shared" si="3"/>
        <v>11</v>
      </c>
      <c r="AU39" s="110">
        <f t="shared" si="3"/>
        <v>14</v>
      </c>
      <c r="AV39" s="110">
        <f t="shared" si="3"/>
        <v>9</v>
      </c>
      <c r="AW39" s="110">
        <f>COUNT(AW14:AW38)</f>
        <v>10</v>
      </c>
      <c r="AX39" s="110">
        <f>COUNT(AX14:AX38)</f>
        <v>20</v>
      </c>
      <c r="AY39" s="110">
        <f>COUNT(AY14:AY38)</f>
        <v>13</v>
      </c>
      <c r="AZ39" s="110">
        <f t="shared" si="3"/>
        <v>11</v>
      </c>
      <c r="BA39" s="110">
        <f t="shared" si="3"/>
        <v>0</v>
      </c>
      <c r="BB39" s="110">
        <f t="shared" si="3"/>
        <v>16</v>
      </c>
      <c r="BC39" s="110">
        <f t="shared" si="3"/>
        <v>6</v>
      </c>
      <c r="BD39" s="110">
        <f t="shared" si="3"/>
        <v>13</v>
      </c>
      <c r="BE39" s="110">
        <f t="shared" si="3"/>
        <v>8</v>
      </c>
      <c r="BF39" s="110">
        <f t="shared" si="3"/>
        <v>0</v>
      </c>
      <c r="BG39" s="110">
        <f t="shared" si="3"/>
        <v>0</v>
      </c>
      <c r="BH39" s="111">
        <f t="shared" si="3"/>
        <v>0</v>
      </c>
    </row>
    <row r="40" spans="1:61" ht="15" customHeight="1" collapsed="1" thickBot="1" x14ac:dyDescent="0.3">
      <c r="B40" s="76"/>
      <c r="C40" s="77"/>
      <c r="D40" s="77"/>
      <c r="E40" s="78"/>
      <c r="F40" s="79"/>
      <c r="G40" s="79"/>
      <c r="H40" s="79"/>
      <c r="I40" s="79"/>
      <c r="J40" s="79"/>
      <c r="K40" s="596" t="s">
        <v>133</v>
      </c>
      <c r="L40" s="596"/>
      <c r="M40" s="597"/>
      <c r="N40" s="81">
        <f t="shared" ref="N40:BH40" si="4">SUM(N41:N65)</f>
        <v>5221</v>
      </c>
      <c r="O40" s="81">
        <f t="shared" si="4"/>
        <v>0</v>
      </c>
      <c r="P40" s="81">
        <f t="shared" si="4"/>
        <v>3196</v>
      </c>
      <c r="Q40" s="81">
        <f t="shared" si="4"/>
        <v>0</v>
      </c>
      <c r="R40" s="81">
        <f t="shared" si="4"/>
        <v>0</v>
      </c>
      <c r="S40" s="81">
        <f t="shared" si="4"/>
        <v>1697</v>
      </c>
      <c r="T40" s="81">
        <f t="shared" si="4"/>
        <v>0</v>
      </c>
      <c r="U40" s="81">
        <f t="shared" si="4"/>
        <v>0</v>
      </c>
      <c r="V40" s="81">
        <f t="shared" si="4"/>
        <v>3595</v>
      </c>
      <c r="W40" s="81">
        <f t="shared" si="4"/>
        <v>0</v>
      </c>
      <c r="X40" s="81">
        <f t="shared" si="4"/>
        <v>707</v>
      </c>
      <c r="Y40" s="81">
        <f t="shared" si="4"/>
        <v>0</v>
      </c>
      <c r="Z40" s="81">
        <f t="shared" si="4"/>
        <v>0</v>
      </c>
      <c r="AA40" s="81">
        <f t="shared" si="4"/>
        <v>0</v>
      </c>
      <c r="AB40" s="81">
        <f t="shared" si="4"/>
        <v>1902</v>
      </c>
      <c r="AC40" s="81">
        <f t="shared" si="4"/>
        <v>0</v>
      </c>
      <c r="AD40" s="81">
        <f t="shared" si="4"/>
        <v>0</v>
      </c>
      <c r="AE40" s="81">
        <f t="shared" si="4"/>
        <v>3617</v>
      </c>
      <c r="AF40" s="81">
        <f t="shared" si="4"/>
        <v>0</v>
      </c>
      <c r="AG40" s="81">
        <f t="shared" si="4"/>
        <v>0</v>
      </c>
      <c r="AH40" s="81">
        <f t="shared" si="4"/>
        <v>0</v>
      </c>
      <c r="AI40" s="81">
        <f t="shared" si="4"/>
        <v>0</v>
      </c>
      <c r="AJ40" s="81">
        <f t="shared" si="4"/>
        <v>0</v>
      </c>
      <c r="AK40" s="81">
        <f t="shared" si="4"/>
        <v>0</v>
      </c>
      <c r="AL40" s="81">
        <f t="shared" si="4"/>
        <v>0</v>
      </c>
      <c r="AM40" s="81">
        <f t="shared" si="4"/>
        <v>0</v>
      </c>
      <c r="AN40" s="81">
        <f t="shared" si="4"/>
        <v>0</v>
      </c>
      <c r="AO40" s="81">
        <f t="shared" si="4"/>
        <v>0</v>
      </c>
      <c r="AP40" s="81">
        <f t="shared" si="4"/>
        <v>0</v>
      </c>
      <c r="AQ40" s="81">
        <f t="shared" si="4"/>
        <v>0</v>
      </c>
      <c r="AR40" s="81">
        <f t="shared" si="4"/>
        <v>0</v>
      </c>
      <c r="AS40" s="81">
        <f t="shared" si="4"/>
        <v>0</v>
      </c>
      <c r="AT40" s="81">
        <f t="shared" si="4"/>
        <v>0</v>
      </c>
      <c r="AU40" s="81">
        <f t="shared" si="4"/>
        <v>0</v>
      </c>
      <c r="AV40" s="81">
        <f t="shared" si="4"/>
        <v>0</v>
      </c>
      <c r="AW40" s="81">
        <f t="shared" si="4"/>
        <v>634</v>
      </c>
      <c r="AX40" s="81">
        <f t="shared" si="4"/>
        <v>0</v>
      </c>
      <c r="AY40" s="81">
        <f t="shared" si="4"/>
        <v>0</v>
      </c>
      <c r="AZ40" s="81">
        <f t="shared" si="4"/>
        <v>0</v>
      </c>
      <c r="BA40" s="81">
        <f t="shared" si="4"/>
        <v>0</v>
      </c>
      <c r="BB40" s="81">
        <f t="shared" si="4"/>
        <v>916</v>
      </c>
      <c r="BC40" s="81">
        <f t="shared" si="4"/>
        <v>0</v>
      </c>
      <c r="BD40" s="81">
        <f t="shared" si="4"/>
        <v>0</v>
      </c>
      <c r="BE40" s="81">
        <f t="shared" si="4"/>
        <v>0</v>
      </c>
      <c r="BF40" s="81">
        <f t="shared" si="4"/>
        <v>0</v>
      </c>
      <c r="BG40" s="81">
        <f t="shared" si="4"/>
        <v>6321</v>
      </c>
      <c r="BH40" s="81">
        <f t="shared" si="4"/>
        <v>0</v>
      </c>
      <c r="BI40" s="84"/>
    </row>
    <row r="41" spans="1:61" s="94" customFormat="1" ht="15" hidden="1" customHeight="1" outlineLevel="1" x14ac:dyDescent="0.2">
      <c r="B41" s="604">
        <v>1</v>
      </c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6"/>
      <c r="N41" s="86">
        <v>563</v>
      </c>
      <c r="O41" s="90"/>
      <c r="P41" s="90">
        <v>298</v>
      </c>
      <c r="Q41" s="90"/>
      <c r="R41" s="90"/>
      <c r="S41" s="90">
        <v>305</v>
      </c>
      <c r="T41" s="90"/>
      <c r="U41" s="90"/>
      <c r="V41" s="90">
        <v>500</v>
      </c>
      <c r="W41" s="90"/>
      <c r="X41" s="112">
        <v>707</v>
      </c>
      <c r="Y41" s="113"/>
      <c r="Z41" s="90"/>
      <c r="AA41" s="90"/>
      <c r="AB41" s="90">
        <v>708</v>
      </c>
      <c r="AC41" s="90"/>
      <c r="AD41" s="90"/>
      <c r="AE41" s="90">
        <v>615</v>
      </c>
      <c r="AF41" s="90" t="s">
        <v>131</v>
      </c>
      <c r="AG41" s="90" t="s">
        <v>131</v>
      </c>
      <c r="AH41" s="91" t="s">
        <v>131</v>
      </c>
      <c r="AI41" s="89" t="s">
        <v>131</v>
      </c>
      <c r="AJ41" s="90" t="s">
        <v>131</v>
      </c>
      <c r="AK41" s="90" t="s">
        <v>131</v>
      </c>
      <c r="AL41" s="90" t="s">
        <v>131</v>
      </c>
      <c r="AM41" s="90" t="s">
        <v>134</v>
      </c>
      <c r="AN41" s="90" t="s">
        <v>131</v>
      </c>
      <c r="AO41" s="90" t="s">
        <v>131</v>
      </c>
      <c r="AP41" s="112" t="s">
        <v>134</v>
      </c>
      <c r="AQ41" s="113" t="s">
        <v>131</v>
      </c>
      <c r="AR41" s="90" t="s">
        <v>131</v>
      </c>
      <c r="AS41" s="90" t="s">
        <v>131</v>
      </c>
      <c r="AT41" s="90" t="s">
        <v>131</v>
      </c>
      <c r="AU41" s="90" t="s">
        <v>131</v>
      </c>
      <c r="AV41" s="90" t="s">
        <v>131</v>
      </c>
      <c r="AW41" s="90">
        <v>634</v>
      </c>
      <c r="AX41" s="90" t="s">
        <v>131</v>
      </c>
      <c r="AY41" s="90" t="s">
        <v>131</v>
      </c>
      <c r="AZ41" s="90" t="s">
        <v>131</v>
      </c>
      <c r="BA41" s="90"/>
      <c r="BB41" s="90">
        <v>916</v>
      </c>
      <c r="BC41" s="90" t="s">
        <v>131</v>
      </c>
      <c r="BD41" s="90" t="s">
        <v>131</v>
      </c>
      <c r="BE41" s="90" t="s">
        <v>131</v>
      </c>
      <c r="BF41" s="90"/>
      <c r="BG41" s="90">
        <v>502</v>
      </c>
      <c r="BH41" s="91"/>
    </row>
    <row r="42" spans="1:61" s="94" customFormat="1" ht="15" hidden="1" customHeight="1" outlineLevel="1" x14ac:dyDescent="0.2">
      <c r="B42" s="593">
        <v>2</v>
      </c>
      <c r="C42" s="594"/>
      <c r="D42" s="594"/>
      <c r="E42" s="594"/>
      <c r="F42" s="594"/>
      <c r="G42" s="594"/>
      <c r="H42" s="594"/>
      <c r="I42" s="594"/>
      <c r="J42" s="594"/>
      <c r="K42" s="594"/>
      <c r="L42" s="594"/>
      <c r="M42" s="595"/>
      <c r="N42" s="95">
        <v>199</v>
      </c>
      <c r="O42" s="93"/>
      <c r="P42" s="93">
        <v>498</v>
      </c>
      <c r="Q42" s="93"/>
      <c r="R42" s="93"/>
      <c r="S42" s="93">
        <v>691</v>
      </c>
      <c r="T42" s="93"/>
      <c r="U42" s="93"/>
      <c r="V42" s="93">
        <v>199</v>
      </c>
      <c r="W42" s="93"/>
      <c r="X42" s="98"/>
      <c r="Y42" s="95"/>
      <c r="Z42" s="93"/>
      <c r="AA42" s="93"/>
      <c r="AB42" s="93">
        <v>515</v>
      </c>
      <c r="AC42" s="93"/>
      <c r="AD42" s="93"/>
      <c r="AE42" s="93">
        <v>663</v>
      </c>
      <c r="AF42" s="93"/>
      <c r="AG42" s="93"/>
      <c r="AH42" s="96"/>
      <c r="AI42" s="97"/>
      <c r="AJ42" s="93"/>
      <c r="AK42" s="93"/>
      <c r="AL42" s="93"/>
      <c r="AM42" s="93"/>
      <c r="AN42" s="93"/>
      <c r="AO42" s="93"/>
      <c r="AP42" s="98"/>
      <c r="AQ42" s="95"/>
      <c r="AR42" s="93"/>
      <c r="AS42" s="93"/>
      <c r="AT42" s="93"/>
      <c r="AU42" s="93"/>
      <c r="AV42" s="93"/>
      <c r="AW42" s="93" t="s">
        <v>131</v>
      </c>
      <c r="AX42" s="93"/>
      <c r="AY42" s="93"/>
      <c r="AZ42" s="93"/>
      <c r="BA42" s="93"/>
      <c r="BB42" s="93"/>
      <c r="BC42" s="93"/>
      <c r="BD42" s="93"/>
      <c r="BE42" s="93"/>
      <c r="BF42" s="93"/>
      <c r="BG42" s="93">
        <v>786</v>
      </c>
      <c r="BH42" s="96"/>
    </row>
    <row r="43" spans="1:61" s="94" customFormat="1" ht="15" hidden="1" customHeight="1" outlineLevel="1" x14ac:dyDescent="0.2">
      <c r="B43" s="593">
        <v>3</v>
      </c>
      <c r="C43" s="594"/>
      <c r="D43" s="594"/>
      <c r="E43" s="594"/>
      <c r="F43" s="594"/>
      <c r="G43" s="594"/>
      <c r="H43" s="594"/>
      <c r="I43" s="594"/>
      <c r="J43" s="594"/>
      <c r="K43" s="594"/>
      <c r="L43" s="594"/>
      <c r="M43" s="595"/>
      <c r="N43" s="95">
        <v>261</v>
      </c>
      <c r="O43" s="93"/>
      <c r="P43" s="93">
        <v>299</v>
      </c>
      <c r="Q43" s="93"/>
      <c r="R43" s="93"/>
      <c r="S43" s="93">
        <v>701</v>
      </c>
      <c r="T43" s="93"/>
      <c r="U43" s="93"/>
      <c r="V43" s="93">
        <v>874</v>
      </c>
      <c r="W43" s="93"/>
      <c r="X43" s="98"/>
      <c r="Y43" s="95"/>
      <c r="Z43" s="93"/>
      <c r="AA43" s="93"/>
      <c r="AB43" s="93">
        <v>679</v>
      </c>
      <c r="AC43" s="93"/>
      <c r="AD43" s="93"/>
      <c r="AE43" s="93">
        <v>1454</v>
      </c>
      <c r="AF43" s="93"/>
      <c r="AG43" s="93"/>
      <c r="AH43" s="96"/>
      <c r="AI43" s="97"/>
      <c r="AJ43" s="93"/>
      <c r="AK43" s="93"/>
      <c r="AL43" s="93"/>
      <c r="AM43" s="93"/>
      <c r="AN43" s="93"/>
      <c r="AO43" s="93"/>
      <c r="AP43" s="98"/>
      <c r="AQ43" s="95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>
        <v>397</v>
      </c>
      <c r="BH43" s="96"/>
    </row>
    <row r="44" spans="1:61" s="94" customFormat="1" ht="15" hidden="1" customHeight="1" outlineLevel="1" x14ac:dyDescent="0.2">
      <c r="B44" s="593">
        <v>4</v>
      </c>
      <c r="C44" s="594"/>
      <c r="D44" s="594"/>
      <c r="E44" s="594"/>
      <c r="F44" s="594"/>
      <c r="G44" s="594"/>
      <c r="H44" s="594"/>
      <c r="I44" s="594"/>
      <c r="J44" s="594"/>
      <c r="K44" s="594"/>
      <c r="L44" s="594"/>
      <c r="M44" s="595"/>
      <c r="N44" s="95">
        <v>398</v>
      </c>
      <c r="O44" s="93"/>
      <c r="P44" s="93">
        <v>199</v>
      </c>
      <c r="Q44" s="93"/>
      <c r="R44" s="93"/>
      <c r="S44" s="93" t="s">
        <v>135</v>
      </c>
      <c r="T44" s="93"/>
      <c r="U44" s="93"/>
      <c r="V44" s="93">
        <v>259</v>
      </c>
      <c r="W44" s="93"/>
      <c r="X44" s="98"/>
      <c r="Y44" s="95"/>
      <c r="Z44" s="93"/>
      <c r="AA44" s="93"/>
      <c r="AB44" s="93" t="s">
        <v>135</v>
      </c>
      <c r="AC44" s="93"/>
      <c r="AD44" s="93"/>
      <c r="AE44" s="93">
        <v>299</v>
      </c>
      <c r="AF44" s="93"/>
      <c r="AG44" s="93"/>
      <c r="AH44" s="96"/>
      <c r="AI44" s="97"/>
      <c r="AJ44" s="93"/>
      <c r="AK44" s="93"/>
      <c r="AL44" s="93"/>
      <c r="AM44" s="93"/>
      <c r="AN44" s="93"/>
      <c r="AO44" s="93"/>
      <c r="AP44" s="98"/>
      <c r="AQ44" s="95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>
        <v>649</v>
      </c>
      <c r="BH44" s="96"/>
    </row>
    <row r="45" spans="1:61" s="94" customFormat="1" ht="15" hidden="1" customHeight="1" outlineLevel="1" x14ac:dyDescent="0.2">
      <c r="B45" s="593">
        <v>5</v>
      </c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5"/>
      <c r="N45" s="95">
        <v>443</v>
      </c>
      <c r="O45" s="93"/>
      <c r="P45" s="93">
        <v>359</v>
      </c>
      <c r="Q45" s="93"/>
      <c r="R45" s="93"/>
      <c r="S45" s="93"/>
      <c r="T45" s="93"/>
      <c r="U45" s="93"/>
      <c r="V45" s="93">
        <v>299</v>
      </c>
      <c r="W45" s="93"/>
      <c r="X45" s="98"/>
      <c r="Y45" s="95"/>
      <c r="Z45" s="93"/>
      <c r="AA45" s="93"/>
      <c r="AB45" s="93"/>
      <c r="AC45" s="93"/>
      <c r="AD45" s="93"/>
      <c r="AE45" s="93">
        <v>372</v>
      </c>
      <c r="AF45" s="93"/>
      <c r="AG45" s="93"/>
      <c r="AH45" s="96"/>
      <c r="AI45" s="97"/>
      <c r="AJ45" s="93"/>
      <c r="AK45" s="93"/>
      <c r="AL45" s="93"/>
      <c r="AM45" s="93"/>
      <c r="AN45" s="93"/>
      <c r="AO45" s="93"/>
      <c r="AP45" s="98"/>
      <c r="AQ45" s="95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>
        <v>199</v>
      </c>
      <c r="BH45" s="96"/>
    </row>
    <row r="46" spans="1:61" s="94" customFormat="1" ht="15" hidden="1" customHeight="1" outlineLevel="1" x14ac:dyDescent="0.2">
      <c r="B46" s="593">
        <v>6</v>
      </c>
      <c r="C46" s="594"/>
      <c r="D46" s="594"/>
      <c r="E46" s="594"/>
      <c r="F46" s="594"/>
      <c r="G46" s="594"/>
      <c r="H46" s="594"/>
      <c r="I46" s="594"/>
      <c r="J46" s="594"/>
      <c r="K46" s="594"/>
      <c r="L46" s="594"/>
      <c r="M46" s="595"/>
      <c r="N46" s="95">
        <v>845</v>
      </c>
      <c r="O46" s="93"/>
      <c r="P46" s="93">
        <v>560</v>
      </c>
      <c r="Q46" s="93"/>
      <c r="R46" s="93"/>
      <c r="S46" s="93"/>
      <c r="T46" s="93"/>
      <c r="U46" s="93"/>
      <c r="V46" s="93">
        <v>199</v>
      </c>
      <c r="W46" s="93"/>
      <c r="X46" s="98"/>
      <c r="Y46" s="95"/>
      <c r="Z46" s="93"/>
      <c r="AA46" s="93"/>
      <c r="AB46" s="93"/>
      <c r="AC46" s="93"/>
      <c r="AD46" s="93"/>
      <c r="AE46" s="93">
        <v>214</v>
      </c>
      <c r="AF46" s="93"/>
      <c r="AG46" s="93"/>
      <c r="AH46" s="96"/>
      <c r="AI46" s="97"/>
      <c r="AJ46" s="93"/>
      <c r="AK46" s="93"/>
      <c r="AL46" s="93"/>
      <c r="AM46" s="93"/>
      <c r="AN46" s="93"/>
      <c r="AO46" s="93"/>
      <c r="AP46" s="98"/>
      <c r="AQ46" s="95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>
        <v>346</v>
      </c>
      <c r="BH46" s="96"/>
    </row>
    <row r="47" spans="1:61" s="94" customFormat="1" ht="15" hidden="1" customHeight="1" outlineLevel="1" x14ac:dyDescent="0.2">
      <c r="B47" s="593">
        <v>7</v>
      </c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5"/>
      <c r="N47" s="95">
        <v>199</v>
      </c>
      <c r="O47" s="93"/>
      <c r="P47" s="93">
        <v>983</v>
      </c>
      <c r="Q47" s="93"/>
      <c r="R47" s="93"/>
      <c r="S47" s="93"/>
      <c r="T47" s="93"/>
      <c r="U47" s="93"/>
      <c r="V47" s="93">
        <v>353</v>
      </c>
      <c r="W47" s="93"/>
      <c r="X47" s="98"/>
      <c r="Y47" s="95"/>
      <c r="Z47" s="93"/>
      <c r="AA47" s="93"/>
      <c r="AB47" s="93"/>
      <c r="AC47" s="93"/>
      <c r="AD47" s="93"/>
      <c r="AE47" s="93" t="s">
        <v>131</v>
      </c>
      <c r="AF47" s="93"/>
      <c r="AG47" s="93"/>
      <c r="AH47" s="96"/>
      <c r="AI47" s="97"/>
      <c r="AJ47" s="93"/>
      <c r="AK47" s="93"/>
      <c r="AL47" s="93"/>
      <c r="AM47" s="93"/>
      <c r="AN47" s="93"/>
      <c r="AO47" s="93"/>
      <c r="AP47" s="98"/>
      <c r="AQ47" s="95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>
        <v>531</v>
      </c>
      <c r="BH47" s="96"/>
    </row>
    <row r="48" spans="1:61" s="94" customFormat="1" ht="15" hidden="1" customHeight="1" outlineLevel="1" x14ac:dyDescent="0.2">
      <c r="B48" s="593">
        <v>8</v>
      </c>
      <c r="C48" s="594"/>
      <c r="D48" s="594"/>
      <c r="E48" s="594"/>
      <c r="F48" s="594"/>
      <c r="G48" s="594"/>
      <c r="H48" s="594"/>
      <c r="I48" s="594"/>
      <c r="J48" s="594"/>
      <c r="K48" s="594"/>
      <c r="L48" s="594"/>
      <c r="M48" s="595"/>
      <c r="N48" s="97">
        <v>199</v>
      </c>
      <c r="O48" s="93"/>
      <c r="P48" s="93" t="s">
        <v>135</v>
      </c>
      <c r="Q48" s="93"/>
      <c r="R48" s="93"/>
      <c r="S48" s="93"/>
      <c r="T48" s="93"/>
      <c r="U48" s="93"/>
      <c r="V48" s="93">
        <v>319</v>
      </c>
      <c r="W48" s="93"/>
      <c r="X48" s="98"/>
      <c r="Y48" s="95"/>
      <c r="Z48" s="93"/>
      <c r="AA48" s="93"/>
      <c r="AB48" s="93"/>
      <c r="AC48" s="93"/>
      <c r="AD48" s="93"/>
      <c r="AE48" s="93"/>
      <c r="AF48" s="93"/>
      <c r="AG48" s="93"/>
      <c r="AH48" s="96"/>
      <c r="AI48" s="97"/>
      <c r="AJ48" s="93"/>
      <c r="AK48" s="93"/>
      <c r="AL48" s="93"/>
      <c r="AM48" s="93"/>
      <c r="AN48" s="93"/>
      <c r="AO48" s="93"/>
      <c r="AP48" s="98"/>
      <c r="AQ48" s="95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>
        <v>797</v>
      </c>
      <c r="BH48" s="96"/>
    </row>
    <row r="49" spans="2:60" s="94" customFormat="1" ht="15" hidden="1" customHeight="1" outlineLevel="1" x14ac:dyDescent="0.2">
      <c r="B49" s="593">
        <v>9</v>
      </c>
      <c r="C49" s="594"/>
      <c r="D49" s="594"/>
      <c r="E49" s="594"/>
      <c r="F49" s="594"/>
      <c r="G49" s="594"/>
      <c r="H49" s="594"/>
      <c r="I49" s="594"/>
      <c r="J49" s="594"/>
      <c r="K49" s="594"/>
      <c r="L49" s="594"/>
      <c r="M49" s="595"/>
      <c r="N49" s="97">
        <v>430</v>
      </c>
      <c r="O49" s="93"/>
      <c r="P49" s="93"/>
      <c r="Q49" s="93"/>
      <c r="R49" s="93"/>
      <c r="S49" s="93"/>
      <c r="T49" s="93"/>
      <c r="U49" s="93"/>
      <c r="V49" s="93">
        <v>244</v>
      </c>
      <c r="W49" s="93"/>
      <c r="X49" s="98"/>
      <c r="Y49" s="95"/>
      <c r="Z49" s="93"/>
      <c r="AA49" s="93"/>
      <c r="AB49" s="93"/>
      <c r="AC49" s="93"/>
      <c r="AD49" s="93"/>
      <c r="AE49" s="93"/>
      <c r="AF49" s="93"/>
      <c r="AG49" s="93"/>
      <c r="AH49" s="96"/>
      <c r="AI49" s="97"/>
      <c r="AJ49" s="93"/>
      <c r="AK49" s="93"/>
      <c r="AL49" s="93"/>
      <c r="AM49" s="93"/>
      <c r="AN49" s="93"/>
      <c r="AO49" s="93"/>
      <c r="AP49" s="98"/>
      <c r="AQ49" s="95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>
        <v>199</v>
      </c>
      <c r="BH49" s="96"/>
    </row>
    <row r="50" spans="2:60" s="94" customFormat="1" ht="15" hidden="1" customHeight="1" outlineLevel="1" x14ac:dyDescent="0.2">
      <c r="B50" s="593">
        <v>10</v>
      </c>
      <c r="C50" s="594"/>
      <c r="D50" s="594"/>
      <c r="E50" s="594"/>
      <c r="F50" s="594"/>
      <c r="G50" s="594"/>
      <c r="H50" s="594"/>
      <c r="I50" s="594"/>
      <c r="J50" s="594"/>
      <c r="K50" s="594"/>
      <c r="L50" s="594"/>
      <c r="M50" s="595"/>
      <c r="N50" s="97">
        <v>475</v>
      </c>
      <c r="O50" s="93"/>
      <c r="P50" s="93"/>
      <c r="Q50" s="93"/>
      <c r="R50" s="93"/>
      <c r="S50" s="93"/>
      <c r="T50" s="93"/>
      <c r="U50" s="93"/>
      <c r="V50" s="93">
        <v>349</v>
      </c>
      <c r="W50" s="93"/>
      <c r="X50" s="98"/>
      <c r="Y50" s="95"/>
      <c r="Z50" s="93"/>
      <c r="AA50" s="93"/>
      <c r="AB50" s="93"/>
      <c r="AC50" s="93"/>
      <c r="AD50" s="93"/>
      <c r="AE50" s="93"/>
      <c r="AF50" s="93"/>
      <c r="AG50" s="93"/>
      <c r="AH50" s="96"/>
      <c r="AI50" s="97"/>
      <c r="AJ50" s="93"/>
      <c r="AK50" s="93"/>
      <c r="AL50" s="93"/>
      <c r="AM50" s="93"/>
      <c r="AN50" s="93"/>
      <c r="AO50" s="93"/>
      <c r="AP50" s="98"/>
      <c r="AQ50" s="95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>
        <v>718</v>
      </c>
      <c r="BH50" s="96"/>
    </row>
    <row r="51" spans="2:60" s="94" customFormat="1" ht="15" hidden="1" customHeight="1" outlineLevel="1" x14ac:dyDescent="0.2">
      <c r="B51" s="593">
        <v>11</v>
      </c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5"/>
      <c r="N51" s="97">
        <v>199</v>
      </c>
      <c r="O51" s="93"/>
      <c r="P51" s="93"/>
      <c r="Q51" s="93"/>
      <c r="R51" s="93"/>
      <c r="S51" s="93"/>
      <c r="T51" s="93"/>
      <c r="U51" s="93"/>
      <c r="V51" s="93" t="s">
        <v>131</v>
      </c>
      <c r="W51" s="93"/>
      <c r="X51" s="98"/>
      <c r="Y51" s="95"/>
      <c r="Z51" s="93"/>
      <c r="AA51" s="93"/>
      <c r="AB51" s="93"/>
      <c r="AC51" s="93"/>
      <c r="AD51" s="93"/>
      <c r="AE51" s="93"/>
      <c r="AF51" s="93"/>
      <c r="AG51" s="93"/>
      <c r="AH51" s="96"/>
      <c r="AI51" s="97"/>
      <c r="AJ51" s="93"/>
      <c r="AK51" s="93"/>
      <c r="AL51" s="93"/>
      <c r="AM51" s="93"/>
      <c r="AN51" s="93"/>
      <c r="AO51" s="93"/>
      <c r="AP51" s="98"/>
      <c r="AQ51" s="95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>
        <v>336</v>
      </c>
      <c r="BH51" s="96"/>
    </row>
    <row r="52" spans="2:60" s="94" customFormat="1" ht="15" hidden="1" customHeight="1" outlineLevel="1" x14ac:dyDescent="0.2">
      <c r="B52" s="593">
        <v>12</v>
      </c>
      <c r="C52" s="594"/>
      <c r="D52" s="594"/>
      <c r="E52" s="594"/>
      <c r="F52" s="594"/>
      <c r="G52" s="594"/>
      <c r="H52" s="594"/>
      <c r="I52" s="594"/>
      <c r="J52" s="594"/>
      <c r="K52" s="594"/>
      <c r="L52" s="594"/>
      <c r="M52" s="595"/>
      <c r="N52" s="97">
        <v>377</v>
      </c>
      <c r="O52" s="93"/>
      <c r="P52" s="93"/>
      <c r="Q52" s="93"/>
      <c r="R52" s="93"/>
      <c r="S52" s="93"/>
      <c r="T52" s="93"/>
      <c r="U52" s="93"/>
      <c r="V52" s="93"/>
      <c r="W52" s="93"/>
      <c r="X52" s="98"/>
      <c r="Y52" s="95"/>
      <c r="Z52" s="93"/>
      <c r="AA52" s="93"/>
      <c r="AB52" s="93"/>
      <c r="AC52" s="93"/>
      <c r="AD52" s="93"/>
      <c r="AE52" s="93"/>
      <c r="AF52" s="93"/>
      <c r="AG52" s="93"/>
      <c r="AH52" s="96"/>
      <c r="AI52" s="97"/>
      <c r="AJ52" s="93"/>
      <c r="AK52" s="93"/>
      <c r="AL52" s="93"/>
      <c r="AM52" s="93"/>
      <c r="AN52" s="93"/>
      <c r="AO52" s="93"/>
      <c r="AP52" s="98"/>
      <c r="AQ52" s="95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>
        <v>409</v>
      </c>
      <c r="BH52" s="96"/>
    </row>
    <row r="53" spans="2:60" s="94" customFormat="1" ht="15" hidden="1" customHeight="1" outlineLevel="1" x14ac:dyDescent="0.2">
      <c r="B53" s="593">
        <v>13</v>
      </c>
      <c r="C53" s="594"/>
      <c r="D53" s="594"/>
      <c r="E53" s="594"/>
      <c r="F53" s="594"/>
      <c r="G53" s="594"/>
      <c r="H53" s="594"/>
      <c r="I53" s="594"/>
      <c r="J53" s="594"/>
      <c r="K53" s="594"/>
      <c r="L53" s="594"/>
      <c r="M53" s="595"/>
      <c r="N53" s="97">
        <v>633</v>
      </c>
      <c r="O53" s="93"/>
      <c r="P53" s="93"/>
      <c r="Q53" s="93"/>
      <c r="R53" s="93"/>
      <c r="S53" s="93"/>
      <c r="T53" s="93"/>
      <c r="U53" s="93"/>
      <c r="V53" s="93"/>
      <c r="W53" s="93"/>
      <c r="X53" s="98"/>
      <c r="Y53" s="95"/>
      <c r="Z53" s="93"/>
      <c r="AA53" s="93"/>
      <c r="AB53" s="93"/>
      <c r="AC53" s="93"/>
      <c r="AD53" s="93"/>
      <c r="AE53" s="93"/>
      <c r="AF53" s="93"/>
      <c r="AG53" s="93"/>
      <c r="AH53" s="96"/>
      <c r="AI53" s="97"/>
      <c r="AJ53" s="93"/>
      <c r="AK53" s="93"/>
      <c r="AL53" s="93"/>
      <c r="AM53" s="93"/>
      <c r="AN53" s="93"/>
      <c r="AO53" s="93"/>
      <c r="AP53" s="98"/>
      <c r="AQ53" s="95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>
        <v>452</v>
      </c>
      <c r="BH53" s="96"/>
    </row>
    <row r="54" spans="2:60" s="94" customFormat="1" ht="15" hidden="1" customHeight="1" outlineLevel="1" x14ac:dyDescent="0.2">
      <c r="B54" s="593">
        <v>14</v>
      </c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5"/>
      <c r="N54" s="97" t="s">
        <v>135</v>
      </c>
      <c r="O54" s="93"/>
      <c r="P54" s="93"/>
      <c r="Q54" s="93"/>
      <c r="R54" s="93"/>
      <c r="S54" s="93"/>
      <c r="T54" s="93"/>
      <c r="U54" s="93"/>
      <c r="V54" s="93"/>
      <c r="W54" s="93"/>
      <c r="X54" s="98"/>
      <c r="Y54" s="95"/>
      <c r="Z54" s="93"/>
      <c r="AA54" s="93"/>
      <c r="AB54" s="93"/>
      <c r="AC54" s="93"/>
      <c r="AD54" s="93"/>
      <c r="AE54" s="93"/>
      <c r="AF54" s="93"/>
      <c r="AG54" s="93"/>
      <c r="AH54" s="96"/>
      <c r="AI54" s="97"/>
      <c r="AJ54" s="93"/>
      <c r="AK54" s="93"/>
      <c r="AL54" s="93"/>
      <c r="AM54" s="93"/>
      <c r="AN54" s="93"/>
      <c r="AO54" s="93"/>
      <c r="AP54" s="98"/>
      <c r="AQ54" s="95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 t="s">
        <v>131</v>
      </c>
      <c r="BH54" s="96"/>
    </row>
    <row r="55" spans="2:60" s="94" customFormat="1" hidden="1" outlineLevel="1" x14ac:dyDescent="0.2">
      <c r="B55" s="593">
        <v>15</v>
      </c>
      <c r="C55" s="594"/>
      <c r="D55" s="594"/>
      <c r="E55" s="594"/>
      <c r="F55" s="594"/>
      <c r="G55" s="594"/>
      <c r="H55" s="594"/>
      <c r="I55" s="594"/>
      <c r="J55" s="594"/>
      <c r="K55" s="594"/>
      <c r="L55" s="594"/>
      <c r="M55" s="595"/>
      <c r="N55" s="97"/>
      <c r="O55" s="93"/>
      <c r="P55" s="93"/>
      <c r="Q55" s="93"/>
      <c r="R55" s="93"/>
      <c r="S55" s="93"/>
      <c r="T55" s="93"/>
      <c r="U55" s="93"/>
      <c r="V55" s="93"/>
      <c r="W55" s="93"/>
      <c r="X55" s="98"/>
      <c r="Y55" s="95"/>
      <c r="Z55" s="93"/>
      <c r="AA55" s="93"/>
      <c r="AB55" s="93"/>
      <c r="AC55" s="93"/>
      <c r="AD55" s="93"/>
      <c r="AE55" s="93"/>
      <c r="AF55" s="93"/>
      <c r="AG55" s="93"/>
      <c r="AH55" s="96"/>
      <c r="AI55" s="97"/>
      <c r="AJ55" s="93"/>
      <c r="AK55" s="93"/>
      <c r="AL55" s="93"/>
      <c r="AM55" s="93"/>
      <c r="AN55" s="93"/>
      <c r="AO55" s="93"/>
      <c r="AP55" s="98"/>
      <c r="AQ55" s="95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6"/>
    </row>
    <row r="56" spans="2:60" s="94" customFormat="1" ht="15" hidden="1" customHeight="1" outlineLevel="1" x14ac:dyDescent="0.2">
      <c r="B56" s="593">
        <v>16</v>
      </c>
      <c r="C56" s="594"/>
      <c r="D56" s="594"/>
      <c r="E56" s="594"/>
      <c r="F56" s="594"/>
      <c r="G56" s="594"/>
      <c r="H56" s="594"/>
      <c r="I56" s="594"/>
      <c r="J56" s="594"/>
      <c r="K56" s="594"/>
      <c r="L56" s="594"/>
      <c r="M56" s="595"/>
      <c r="N56" s="97"/>
      <c r="O56" s="93"/>
      <c r="P56" s="93"/>
      <c r="Q56" s="93"/>
      <c r="R56" s="93"/>
      <c r="S56" s="93"/>
      <c r="T56" s="93"/>
      <c r="U56" s="93"/>
      <c r="V56" s="93"/>
      <c r="W56" s="93"/>
      <c r="X56" s="98"/>
      <c r="Y56" s="95"/>
      <c r="Z56" s="93"/>
      <c r="AA56" s="93"/>
      <c r="AB56" s="93"/>
      <c r="AC56" s="93"/>
      <c r="AD56" s="93"/>
      <c r="AE56" s="93"/>
      <c r="AF56" s="93"/>
      <c r="AG56" s="93"/>
      <c r="AH56" s="96"/>
      <c r="AI56" s="97"/>
      <c r="AJ56" s="93"/>
      <c r="AK56" s="93"/>
      <c r="AL56" s="93"/>
      <c r="AM56" s="93"/>
      <c r="AN56" s="93"/>
      <c r="AO56" s="93"/>
      <c r="AP56" s="98"/>
      <c r="AQ56" s="95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6"/>
    </row>
    <row r="57" spans="2:60" s="94" customFormat="1" ht="15" hidden="1" customHeight="1" outlineLevel="1" x14ac:dyDescent="0.2">
      <c r="B57" s="593">
        <v>17</v>
      </c>
      <c r="C57" s="594"/>
      <c r="D57" s="594"/>
      <c r="E57" s="594"/>
      <c r="F57" s="594"/>
      <c r="G57" s="594"/>
      <c r="H57" s="594"/>
      <c r="I57" s="594"/>
      <c r="J57" s="594"/>
      <c r="K57" s="594"/>
      <c r="L57" s="594"/>
      <c r="M57" s="595"/>
      <c r="N57" s="97"/>
      <c r="O57" s="93"/>
      <c r="P57" s="93"/>
      <c r="Q57" s="93"/>
      <c r="R57" s="93"/>
      <c r="S57" s="93"/>
      <c r="T57" s="93"/>
      <c r="U57" s="93"/>
      <c r="V57" s="93"/>
      <c r="W57" s="93"/>
      <c r="X57" s="98"/>
      <c r="Y57" s="95"/>
      <c r="Z57" s="93"/>
      <c r="AA57" s="93"/>
      <c r="AB57" s="93"/>
      <c r="AC57" s="93"/>
      <c r="AD57" s="93"/>
      <c r="AE57" s="93"/>
      <c r="AF57" s="93"/>
      <c r="AG57" s="93"/>
      <c r="AH57" s="96"/>
      <c r="AI57" s="97"/>
      <c r="AJ57" s="93"/>
      <c r="AK57" s="93"/>
      <c r="AL57" s="93"/>
      <c r="AM57" s="93"/>
      <c r="AN57" s="93"/>
      <c r="AO57" s="93"/>
      <c r="AP57" s="98"/>
      <c r="AQ57" s="95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6"/>
    </row>
    <row r="58" spans="2:60" s="94" customFormat="1" ht="15" hidden="1" customHeight="1" outlineLevel="1" x14ac:dyDescent="0.2">
      <c r="B58" s="593">
        <v>18</v>
      </c>
      <c r="C58" s="594"/>
      <c r="D58" s="594"/>
      <c r="E58" s="594"/>
      <c r="F58" s="594"/>
      <c r="G58" s="594"/>
      <c r="H58" s="594"/>
      <c r="I58" s="594"/>
      <c r="J58" s="594"/>
      <c r="K58" s="594"/>
      <c r="L58" s="594"/>
      <c r="M58" s="595"/>
      <c r="N58" s="97"/>
      <c r="O58" s="93"/>
      <c r="P58" s="93"/>
      <c r="Q58" s="93"/>
      <c r="R58" s="93"/>
      <c r="S58" s="93"/>
      <c r="T58" s="93"/>
      <c r="U58" s="93"/>
      <c r="V58" s="93"/>
      <c r="W58" s="93"/>
      <c r="X58" s="98"/>
      <c r="Y58" s="95"/>
      <c r="Z58" s="93"/>
      <c r="AA58" s="93"/>
      <c r="AB58" s="93"/>
      <c r="AC58" s="93"/>
      <c r="AD58" s="93"/>
      <c r="AE58" s="93"/>
      <c r="AF58" s="93"/>
      <c r="AG58" s="93"/>
      <c r="AH58" s="96"/>
      <c r="AI58" s="97"/>
      <c r="AJ58" s="93"/>
      <c r="AK58" s="93"/>
      <c r="AL58" s="93"/>
      <c r="AM58" s="93"/>
      <c r="AN58" s="93"/>
      <c r="AO58" s="93"/>
      <c r="AP58" s="98"/>
      <c r="AQ58" s="95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6"/>
    </row>
    <row r="59" spans="2:60" s="94" customFormat="1" ht="15" hidden="1" customHeight="1" outlineLevel="1" x14ac:dyDescent="0.2">
      <c r="B59" s="593">
        <v>19</v>
      </c>
      <c r="C59" s="594"/>
      <c r="D59" s="594"/>
      <c r="E59" s="594"/>
      <c r="F59" s="594"/>
      <c r="G59" s="594"/>
      <c r="H59" s="594"/>
      <c r="I59" s="594"/>
      <c r="J59" s="594"/>
      <c r="K59" s="594"/>
      <c r="L59" s="594"/>
      <c r="M59" s="595"/>
      <c r="N59" s="97"/>
      <c r="O59" s="93"/>
      <c r="P59" s="93"/>
      <c r="Q59" s="93"/>
      <c r="R59" s="93"/>
      <c r="S59" s="93"/>
      <c r="T59" s="93"/>
      <c r="U59" s="93"/>
      <c r="V59" s="93"/>
      <c r="W59" s="93"/>
      <c r="X59" s="98"/>
      <c r="Y59" s="95"/>
      <c r="Z59" s="93"/>
      <c r="AA59" s="93"/>
      <c r="AB59" s="93"/>
      <c r="AC59" s="93"/>
      <c r="AD59" s="93"/>
      <c r="AE59" s="93"/>
      <c r="AF59" s="93"/>
      <c r="AG59" s="93"/>
      <c r="AH59" s="96"/>
      <c r="AI59" s="97"/>
      <c r="AJ59" s="93"/>
      <c r="AK59" s="93"/>
      <c r="AL59" s="93"/>
      <c r="AM59" s="93"/>
      <c r="AN59" s="93"/>
      <c r="AO59" s="93"/>
      <c r="AP59" s="98"/>
      <c r="AQ59" s="95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6"/>
    </row>
    <row r="60" spans="2:60" s="94" customFormat="1" ht="15" hidden="1" customHeight="1" outlineLevel="1" x14ac:dyDescent="0.2">
      <c r="B60" s="593">
        <v>20</v>
      </c>
      <c r="C60" s="594"/>
      <c r="D60" s="594"/>
      <c r="E60" s="594"/>
      <c r="F60" s="594"/>
      <c r="G60" s="594"/>
      <c r="H60" s="594"/>
      <c r="I60" s="594"/>
      <c r="J60" s="594"/>
      <c r="K60" s="594"/>
      <c r="L60" s="594"/>
      <c r="M60" s="595"/>
      <c r="N60" s="97"/>
      <c r="O60" s="93"/>
      <c r="P60" s="93"/>
      <c r="Q60" s="93"/>
      <c r="R60" s="93"/>
      <c r="S60" s="93"/>
      <c r="T60" s="93"/>
      <c r="U60" s="93"/>
      <c r="V60" s="93"/>
      <c r="W60" s="93"/>
      <c r="X60" s="98"/>
      <c r="Y60" s="95"/>
      <c r="Z60" s="93"/>
      <c r="AA60" s="93"/>
      <c r="AB60" s="93"/>
      <c r="AC60" s="93"/>
      <c r="AD60" s="93"/>
      <c r="AE60" s="93"/>
      <c r="AF60" s="93"/>
      <c r="AG60" s="93"/>
      <c r="AH60" s="96"/>
      <c r="AI60" s="97"/>
      <c r="AJ60" s="93"/>
      <c r="AK60" s="93"/>
      <c r="AL60" s="93"/>
      <c r="AM60" s="93"/>
      <c r="AN60" s="93"/>
      <c r="AO60" s="93"/>
      <c r="AP60" s="98"/>
      <c r="AQ60" s="95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6"/>
    </row>
    <row r="61" spans="2:60" s="94" customFormat="1" ht="15" hidden="1" customHeight="1" outlineLevel="1" x14ac:dyDescent="0.2">
      <c r="B61" s="593">
        <v>21</v>
      </c>
      <c r="C61" s="594"/>
      <c r="D61" s="594"/>
      <c r="E61" s="594"/>
      <c r="F61" s="594"/>
      <c r="G61" s="594"/>
      <c r="H61" s="594"/>
      <c r="I61" s="594"/>
      <c r="J61" s="594"/>
      <c r="K61" s="594"/>
      <c r="L61" s="594"/>
      <c r="M61" s="595"/>
      <c r="N61" s="97"/>
      <c r="O61" s="93"/>
      <c r="P61" s="93"/>
      <c r="Q61" s="93"/>
      <c r="R61" s="93"/>
      <c r="S61" s="93"/>
      <c r="T61" s="93"/>
      <c r="U61" s="93"/>
      <c r="V61" s="93"/>
      <c r="W61" s="93"/>
      <c r="X61" s="98"/>
      <c r="Y61" s="95"/>
      <c r="Z61" s="93"/>
      <c r="AA61" s="93"/>
      <c r="AB61" s="93"/>
      <c r="AC61" s="93"/>
      <c r="AD61" s="93"/>
      <c r="AE61" s="93"/>
      <c r="AF61" s="93"/>
      <c r="AG61" s="93"/>
      <c r="AH61" s="96"/>
      <c r="AI61" s="97"/>
      <c r="AJ61" s="93"/>
      <c r="AK61" s="93"/>
      <c r="AL61" s="93"/>
      <c r="AM61" s="93"/>
      <c r="AN61" s="93"/>
      <c r="AO61" s="93"/>
      <c r="AP61" s="98"/>
      <c r="AQ61" s="95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6"/>
    </row>
    <row r="62" spans="2:60" s="94" customFormat="1" ht="15" hidden="1" customHeight="1" outlineLevel="1" x14ac:dyDescent="0.2">
      <c r="B62" s="593">
        <v>22</v>
      </c>
      <c r="C62" s="594"/>
      <c r="D62" s="594"/>
      <c r="E62" s="594"/>
      <c r="F62" s="594"/>
      <c r="G62" s="594"/>
      <c r="H62" s="594"/>
      <c r="I62" s="594"/>
      <c r="J62" s="594"/>
      <c r="K62" s="594"/>
      <c r="L62" s="594"/>
      <c r="M62" s="595"/>
      <c r="N62" s="97"/>
      <c r="O62" s="93"/>
      <c r="P62" s="93"/>
      <c r="Q62" s="93"/>
      <c r="R62" s="93"/>
      <c r="S62" s="93"/>
      <c r="T62" s="93"/>
      <c r="U62" s="93"/>
      <c r="V62" s="93"/>
      <c r="W62" s="93"/>
      <c r="X62" s="98"/>
      <c r="Y62" s="95"/>
      <c r="Z62" s="93"/>
      <c r="AA62" s="93"/>
      <c r="AB62" s="93"/>
      <c r="AC62" s="93"/>
      <c r="AD62" s="93"/>
      <c r="AE62" s="93"/>
      <c r="AF62" s="93"/>
      <c r="AG62" s="93"/>
      <c r="AH62" s="96"/>
      <c r="AI62" s="97"/>
      <c r="AJ62" s="93"/>
      <c r="AK62" s="93"/>
      <c r="AL62" s="93"/>
      <c r="AM62" s="93"/>
      <c r="AN62" s="93"/>
      <c r="AO62" s="93"/>
      <c r="AP62" s="98"/>
      <c r="AQ62" s="95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6"/>
    </row>
    <row r="63" spans="2:60" s="94" customFormat="1" ht="15" hidden="1" customHeight="1" outlineLevel="1" x14ac:dyDescent="0.2">
      <c r="B63" s="593">
        <v>23</v>
      </c>
      <c r="C63" s="594"/>
      <c r="D63" s="594"/>
      <c r="E63" s="594"/>
      <c r="F63" s="594"/>
      <c r="G63" s="594"/>
      <c r="H63" s="594"/>
      <c r="I63" s="594"/>
      <c r="J63" s="594"/>
      <c r="K63" s="594"/>
      <c r="L63" s="594"/>
      <c r="M63" s="595"/>
      <c r="N63" s="97"/>
      <c r="O63" s="93"/>
      <c r="P63" s="93"/>
      <c r="Q63" s="93"/>
      <c r="R63" s="93"/>
      <c r="S63" s="93"/>
      <c r="T63" s="93"/>
      <c r="U63" s="93"/>
      <c r="V63" s="93"/>
      <c r="W63" s="93"/>
      <c r="X63" s="98"/>
      <c r="Y63" s="95"/>
      <c r="Z63" s="93"/>
      <c r="AA63" s="93"/>
      <c r="AB63" s="93"/>
      <c r="AC63" s="93"/>
      <c r="AD63" s="93"/>
      <c r="AE63" s="93"/>
      <c r="AF63" s="93"/>
      <c r="AG63" s="93"/>
      <c r="AH63" s="96"/>
      <c r="AI63" s="97"/>
      <c r="AJ63" s="93"/>
      <c r="AK63" s="93"/>
      <c r="AL63" s="93"/>
      <c r="AM63" s="93"/>
      <c r="AN63" s="93"/>
      <c r="AO63" s="93"/>
      <c r="AP63" s="98"/>
      <c r="AQ63" s="95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6"/>
    </row>
    <row r="64" spans="2:60" s="94" customFormat="1" ht="15" hidden="1" customHeight="1" outlineLevel="1" x14ac:dyDescent="0.2">
      <c r="B64" s="593">
        <v>24</v>
      </c>
      <c r="C64" s="594"/>
      <c r="D64" s="594"/>
      <c r="E64" s="594"/>
      <c r="F64" s="594"/>
      <c r="G64" s="594"/>
      <c r="H64" s="594"/>
      <c r="I64" s="594"/>
      <c r="J64" s="594"/>
      <c r="K64" s="594"/>
      <c r="L64" s="594"/>
      <c r="M64" s="595"/>
      <c r="N64" s="97"/>
      <c r="O64" s="93"/>
      <c r="P64" s="93"/>
      <c r="Q64" s="93"/>
      <c r="R64" s="93"/>
      <c r="S64" s="93"/>
      <c r="T64" s="93"/>
      <c r="U64" s="93"/>
      <c r="V64" s="93"/>
      <c r="W64" s="93"/>
      <c r="X64" s="98"/>
      <c r="Y64" s="95"/>
      <c r="Z64" s="93"/>
      <c r="AA64" s="93"/>
      <c r="AB64" s="93"/>
      <c r="AC64" s="93"/>
      <c r="AD64" s="93"/>
      <c r="AE64" s="93"/>
      <c r="AF64" s="93"/>
      <c r="AG64" s="93"/>
      <c r="AH64" s="96"/>
      <c r="AI64" s="97"/>
      <c r="AJ64" s="93"/>
      <c r="AK64" s="93"/>
      <c r="AL64" s="93"/>
      <c r="AM64" s="93"/>
      <c r="AN64" s="93"/>
      <c r="AO64" s="93"/>
      <c r="AP64" s="98"/>
      <c r="AQ64" s="95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6"/>
    </row>
    <row r="65" spans="2:61" s="94" customFormat="1" ht="15" hidden="1" customHeight="1" outlineLevel="1" x14ac:dyDescent="0.2">
      <c r="B65" s="601">
        <v>25</v>
      </c>
      <c r="C65" s="602"/>
      <c r="D65" s="602"/>
      <c r="E65" s="602"/>
      <c r="F65" s="602"/>
      <c r="G65" s="602"/>
      <c r="H65" s="602"/>
      <c r="I65" s="602"/>
      <c r="J65" s="602"/>
      <c r="K65" s="602"/>
      <c r="L65" s="602"/>
      <c r="M65" s="603"/>
      <c r="N65" s="107"/>
      <c r="O65" s="105"/>
      <c r="P65" s="105"/>
      <c r="Q65" s="105"/>
      <c r="R65" s="105"/>
      <c r="S65" s="105"/>
      <c r="T65" s="105"/>
      <c r="U65" s="105"/>
      <c r="V65" s="105"/>
      <c r="W65" s="105"/>
      <c r="X65" s="108"/>
      <c r="Y65" s="104"/>
      <c r="Z65" s="105"/>
      <c r="AA65" s="105"/>
      <c r="AB65" s="105"/>
      <c r="AC65" s="105"/>
      <c r="AD65" s="105"/>
      <c r="AE65" s="105"/>
      <c r="AF65" s="105"/>
      <c r="AG65" s="105"/>
      <c r="AH65" s="106"/>
      <c r="AI65" s="107"/>
      <c r="AJ65" s="105"/>
      <c r="AK65" s="105"/>
      <c r="AL65" s="105"/>
      <c r="AM65" s="105"/>
      <c r="AN65" s="105"/>
      <c r="AO65" s="105"/>
      <c r="AP65" s="108"/>
      <c r="AQ65" s="104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6"/>
    </row>
    <row r="66" spans="2:61" s="116" customFormat="1" ht="3" customHeight="1" thickBot="1" x14ac:dyDescent="0.25">
      <c r="B66" s="11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0">
        <f>COUNT(N41:N65)</f>
        <v>13</v>
      </c>
      <c r="O66" s="110">
        <f t="shared" ref="O66:BH66" si="5">COUNT(O41:O65)</f>
        <v>0</v>
      </c>
      <c r="P66" s="110">
        <f t="shared" si="5"/>
        <v>7</v>
      </c>
      <c r="Q66" s="110">
        <f t="shared" si="5"/>
        <v>0</v>
      </c>
      <c r="R66" s="110">
        <f t="shared" si="5"/>
        <v>0</v>
      </c>
      <c r="S66" s="110">
        <f t="shared" si="5"/>
        <v>3</v>
      </c>
      <c r="T66" s="110">
        <f t="shared" si="5"/>
        <v>0</v>
      </c>
      <c r="U66" s="110">
        <f t="shared" si="5"/>
        <v>0</v>
      </c>
      <c r="V66" s="110">
        <f t="shared" si="5"/>
        <v>10</v>
      </c>
      <c r="W66" s="110">
        <f t="shared" si="5"/>
        <v>0</v>
      </c>
      <c r="X66" s="110">
        <f t="shared" si="5"/>
        <v>1</v>
      </c>
      <c r="Y66" s="110">
        <f t="shared" si="5"/>
        <v>0</v>
      </c>
      <c r="Z66" s="110">
        <f t="shared" si="5"/>
        <v>0</v>
      </c>
      <c r="AA66" s="110">
        <f t="shared" si="5"/>
        <v>0</v>
      </c>
      <c r="AB66" s="110">
        <f t="shared" si="5"/>
        <v>3</v>
      </c>
      <c r="AC66" s="110">
        <f t="shared" si="5"/>
        <v>0</v>
      </c>
      <c r="AD66" s="110">
        <f t="shared" si="5"/>
        <v>0</v>
      </c>
      <c r="AE66" s="110">
        <f t="shared" si="5"/>
        <v>6</v>
      </c>
      <c r="AF66" s="110">
        <f t="shared" si="5"/>
        <v>0</v>
      </c>
      <c r="AG66" s="110">
        <f t="shared" si="5"/>
        <v>0</v>
      </c>
      <c r="AH66" s="110">
        <f t="shared" si="5"/>
        <v>0</v>
      </c>
      <c r="AI66" s="110">
        <f t="shared" si="5"/>
        <v>0</v>
      </c>
      <c r="AJ66" s="110">
        <f t="shared" si="5"/>
        <v>0</v>
      </c>
      <c r="AK66" s="110">
        <f t="shared" si="5"/>
        <v>0</v>
      </c>
      <c r="AL66" s="110">
        <f t="shared" si="5"/>
        <v>0</v>
      </c>
      <c r="AM66" s="110">
        <f t="shared" si="5"/>
        <v>0</v>
      </c>
      <c r="AN66" s="110">
        <f t="shared" si="5"/>
        <v>0</v>
      </c>
      <c r="AO66" s="110">
        <f t="shared" si="5"/>
        <v>0</v>
      </c>
      <c r="AP66" s="110">
        <f t="shared" si="5"/>
        <v>0</v>
      </c>
      <c r="AQ66" s="109">
        <f t="shared" si="5"/>
        <v>0</v>
      </c>
      <c r="AR66" s="110">
        <f t="shared" si="5"/>
        <v>0</v>
      </c>
      <c r="AS66" s="110">
        <f t="shared" si="5"/>
        <v>0</v>
      </c>
      <c r="AT66" s="110">
        <f t="shared" si="5"/>
        <v>0</v>
      </c>
      <c r="AU66" s="110">
        <f t="shared" si="5"/>
        <v>0</v>
      </c>
      <c r="AV66" s="110">
        <f t="shared" si="5"/>
        <v>0</v>
      </c>
      <c r="AW66" s="110">
        <f t="shared" si="5"/>
        <v>1</v>
      </c>
      <c r="AX66" s="110">
        <f t="shared" si="5"/>
        <v>0</v>
      </c>
      <c r="AY66" s="110">
        <f t="shared" si="5"/>
        <v>0</v>
      </c>
      <c r="AZ66" s="110">
        <f t="shared" si="5"/>
        <v>0</v>
      </c>
      <c r="BA66" s="110">
        <f t="shared" si="5"/>
        <v>0</v>
      </c>
      <c r="BB66" s="110">
        <f t="shared" si="5"/>
        <v>1</v>
      </c>
      <c r="BC66" s="110">
        <f t="shared" si="5"/>
        <v>0</v>
      </c>
      <c r="BD66" s="110">
        <f t="shared" si="5"/>
        <v>0</v>
      </c>
      <c r="BE66" s="110">
        <f t="shared" si="5"/>
        <v>0</v>
      </c>
      <c r="BF66" s="110">
        <f t="shared" si="5"/>
        <v>0</v>
      </c>
      <c r="BG66" s="110">
        <f t="shared" si="5"/>
        <v>13</v>
      </c>
      <c r="BH66" s="111">
        <f t="shared" si="5"/>
        <v>0</v>
      </c>
    </row>
    <row r="67" spans="2:61" ht="15" customHeight="1" collapsed="1" thickBot="1" x14ac:dyDescent="0.3">
      <c r="B67" s="76"/>
      <c r="C67" s="77"/>
      <c r="D67" s="77"/>
      <c r="E67" s="78"/>
      <c r="F67" s="79"/>
      <c r="G67" s="79"/>
      <c r="H67" s="79"/>
      <c r="I67" s="79"/>
      <c r="J67" s="79"/>
      <c r="K67" s="596" t="s">
        <v>136</v>
      </c>
      <c r="L67" s="596"/>
      <c r="M67" s="597"/>
      <c r="N67" s="81">
        <f t="shared" ref="N67:BH67" si="6">SUM(N68:N92)</f>
        <v>0</v>
      </c>
      <c r="O67" s="81">
        <f t="shared" si="6"/>
        <v>0</v>
      </c>
      <c r="P67" s="81">
        <f t="shared" si="6"/>
        <v>0</v>
      </c>
      <c r="Q67" s="81">
        <f t="shared" si="6"/>
        <v>0</v>
      </c>
      <c r="R67" s="81">
        <f t="shared" si="6"/>
        <v>0</v>
      </c>
      <c r="S67" s="81">
        <f t="shared" si="6"/>
        <v>0</v>
      </c>
      <c r="T67" s="81">
        <f t="shared" si="6"/>
        <v>0</v>
      </c>
      <c r="U67" s="81">
        <f t="shared" si="6"/>
        <v>0</v>
      </c>
      <c r="V67" s="81">
        <f t="shared" si="6"/>
        <v>0</v>
      </c>
      <c r="W67" s="81">
        <f t="shared" si="6"/>
        <v>0</v>
      </c>
      <c r="X67" s="81">
        <f t="shared" si="6"/>
        <v>0</v>
      </c>
      <c r="Y67" s="81">
        <f t="shared" si="6"/>
        <v>0</v>
      </c>
      <c r="Z67" s="81">
        <f t="shared" si="6"/>
        <v>0</v>
      </c>
      <c r="AA67" s="81">
        <f t="shared" si="6"/>
        <v>0</v>
      </c>
      <c r="AB67" s="81">
        <f t="shared" si="6"/>
        <v>0</v>
      </c>
      <c r="AC67" s="81">
        <f t="shared" si="6"/>
        <v>0</v>
      </c>
      <c r="AD67" s="81">
        <f t="shared" si="6"/>
        <v>0</v>
      </c>
      <c r="AE67" s="81">
        <f t="shared" si="6"/>
        <v>0</v>
      </c>
      <c r="AF67" s="81">
        <f t="shared" si="6"/>
        <v>0</v>
      </c>
      <c r="AG67" s="81">
        <f t="shared" si="6"/>
        <v>0</v>
      </c>
      <c r="AH67" s="81">
        <f t="shared" si="6"/>
        <v>0</v>
      </c>
      <c r="AI67" s="81">
        <f t="shared" si="6"/>
        <v>0</v>
      </c>
      <c r="AJ67" s="81">
        <f t="shared" si="6"/>
        <v>0</v>
      </c>
      <c r="AK67" s="81">
        <f t="shared" si="6"/>
        <v>0</v>
      </c>
      <c r="AL67" s="81">
        <f t="shared" si="6"/>
        <v>0</v>
      </c>
      <c r="AM67" s="81">
        <f t="shared" si="6"/>
        <v>0</v>
      </c>
      <c r="AN67" s="81">
        <f t="shared" si="6"/>
        <v>0</v>
      </c>
      <c r="AO67" s="81">
        <f t="shared" si="6"/>
        <v>0</v>
      </c>
      <c r="AP67" s="81">
        <f t="shared" si="6"/>
        <v>0</v>
      </c>
      <c r="AQ67" s="81">
        <f t="shared" si="6"/>
        <v>0</v>
      </c>
      <c r="AR67" s="81">
        <f t="shared" si="6"/>
        <v>0</v>
      </c>
      <c r="AS67" s="81">
        <f t="shared" si="6"/>
        <v>0</v>
      </c>
      <c r="AT67" s="81">
        <f t="shared" si="6"/>
        <v>0</v>
      </c>
      <c r="AU67" s="81">
        <f t="shared" si="6"/>
        <v>0</v>
      </c>
      <c r="AV67" s="81">
        <f t="shared" si="6"/>
        <v>0</v>
      </c>
      <c r="AW67" s="81">
        <f t="shared" si="6"/>
        <v>0</v>
      </c>
      <c r="AX67" s="81">
        <f t="shared" si="6"/>
        <v>0</v>
      </c>
      <c r="AY67" s="81">
        <f t="shared" si="6"/>
        <v>0</v>
      </c>
      <c r="AZ67" s="81">
        <f t="shared" si="6"/>
        <v>0</v>
      </c>
      <c r="BA67" s="81">
        <f t="shared" si="6"/>
        <v>0</v>
      </c>
      <c r="BB67" s="81">
        <f t="shared" si="6"/>
        <v>0</v>
      </c>
      <c r="BC67" s="81">
        <f t="shared" si="6"/>
        <v>0</v>
      </c>
      <c r="BD67" s="81">
        <f t="shared" si="6"/>
        <v>0</v>
      </c>
      <c r="BE67" s="81">
        <f t="shared" si="6"/>
        <v>0</v>
      </c>
      <c r="BF67" s="81">
        <f t="shared" si="6"/>
        <v>0</v>
      </c>
      <c r="BG67" s="81">
        <f t="shared" si="6"/>
        <v>0</v>
      </c>
      <c r="BH67" s="81">
        <f t="shared" si="6"/>
        <v>0</v>
      </c>
      <c r="BI67" s="84"/>
    </row>
    <row r="68" spans="2:61" s="94" customFormat="1" ht="15" hidden="1" customHeight="1" outlineLevel="1" x14ac:dyDescent="0.2">
      <c r="B68" s="604">
        <v>1</v>
      </c>
      <c r="C68" s="605"/>
      <c r="D68" s="605"/>
      <c r="E68" s="605"/>
      <c r="F68" s="605"/>
      <c r="G68" s="605"/>
      <c r="H68" s="605"/>
      <c r="I68" s="605"/>
      <c r="J68" s="605"/>
      <c r="K68" s="605"/>
      <c r="L68" s="605"/>
      <c r="M68" s="606"/>
      <c r="N68" s="89"/>
      <c r="O68" s="90"/>
      <c r="P68" s="90"/>
      <c r="Q68" s="90"/>
      <c r="R68" s="90"/>
      <c r="S68" s="90"/>
      <c r="T68" s="90"/>
      <c r="U68" s="90"/>
      <c r="V68" s="90"/>
      <c r="W68" s="90"/>
      <c r="X68" s="112"/>
      <c r="Y68" s="113"/>
      <c r="Z68" s="90"/>
      <c r="AA68" s="90"/>
      <c r="AB68" s="90"/>
      <c r="AC68" s="90"/>
      <c r="AD68" s="90"/>
      <c r="AE68" s="90"/>
      <c r="AF68" s="90"/>
      <c r="AG68" s="90"/>
      <c r="AH68" s="91"/>
      <c r="AI68" s="89"/>
      <c r="AJ68" s="90"/>
      <c r="AK68" s="90"/>
      <c r="AL68" s="90"/>
      <c r="AM68" s="90"/>
      <c r="AN68" s="90"/>
      <c r="AO68" s="90"/>
      <c r="AP68" s="112"/>
      <c r="AQ68" s="113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1"/>
    </row>
    <row r="69" spans="2:61" s="94" customFormat="1" ht="15" hidden="1" customHeight="1" outlineLevel="1" x14ac:dyDescent="0.2">
      <c r="B69" s="593">
        <v>2</v>
      </c>
      <c r="C69" s="594"/>
      <c r="D69" s="594"/>
      <c r="E69" s="594"/>
      <c r="F69" s="594"/>
      <c r="G69" s="594"/>
      <c r="H69" s="594"/>
      <c r="I69" s="594"/>
      <c r="J69" s="594"/>
      <c r="K69" s="594"/>
      <c r="L69" s="594"/>
      <c r="M69" s="595"/>
      <c r="N69" s="97"/>
      <c r="O69" s="93"/>
      <c r="P69" s="93"/>
      <c r="Q69" s="93"/>
      <c r="R69" s="93"/>
      <c r="S69" s="93"/>
      <c r="T69" s="93"/>
      <c r="U69" s="93"/>
      <c r="V69" s="93"/>
      <c r="W69" s="93"/>
      <c r="X69" s="98"/>
      <c r="Y69" s="95"/>
      <c r="Z69" s="93"/>
      <c r="AA69" s="93"/>
      <c r="AB69" s="93"/>
      <c r="AC69" s="93"/>
      <c r="AD69" s="93"/>
      <c r="AE69" s="93"/>
      <c r="AF69" s="93"/>
      <c r="AG69" s="93"/>
      <c r="AH69" s="96"/>
      <c r="AI69" s="97"/>
      <c r="AJ69" s="93"/>
      <c r="AK69" s="93"/>
      <c r="AL69" s="93"/>
      <c r="AM69" s="93"/>
      <c r="AN69" s="93"/>
      <c r="AO69" s="93"/>
      <c r="AP69" s="98"/>
      <c r="AQ69" s="95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6"/>
    </row>
    <row r="70" spans="2:61" s="94" customFormat="1" ht="15" hidden="1" customHeight="1" outlineLevel="1" x14ac:dyDescent="0.2">
      <c r="B70" s="593">
        <v>3</v>
      </c>
      <c r="C70" s="594"/>
      <c r="D70" s="594"/>
      <c r="E70" s="594"/>
      <c r="F70" s="594"/>
      <c r="G70" s="594"/>
      <c r="H70" s="594"/>
      <c r="I70" s="594"/>
      <c r="J70" s="594"/>
      <c r="K70" s="594"/>
      <c r="L70" s="594"/>
      <c r="M70" s="595"/>
      <c r="N70" s="97"/>
      <c r="O70" s="93"/>
      <c r="P70" s="93"/>
      <c r="Q70" s="93"/>
      <c r="R70" s="93"/>
      <c r="S70" s="93"/>
      <c r="T70" s="93"/>
      <c r="U70" s="93"/>
      <c r="V70" s="93"/>
      <c r="W70" s="93"/>
      <c r="X70" s="98"/>
      <c r="Y70" s="95"/>
      <c r="Z70" s="93"/>
      <c r="AA70" s="93"/>
      <c r="AB70" s="93"/>
      <c r="AC70" s="93"/>
      <c r="AD70" s="93"/>
      <c r="AE70" s="93"/>
      <c r="AF70" s="93"/>
      <c r="AG70" s="93"/>
      <c r="AH70" s="96"/>
      <c r="AI70" s="97"/>
      <c r="AJ70" s="93"/>
      <c r="AK70" s="93"/>
      <c r="AL70" s="93"/>
      <c r="AM70" s="93"/>
      <c r="AN70" s="93"/>
      <c r="AO70" s="93"/>
      <c r="AP70" s="98"/>
      <c r="AQ70" s="95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6"/>
    </row>
    <row r="71" spans="2:61" s="94" customFormat="1" ht="15" hidden="1" customHeight="1" outlineLevel="1" x14ac:dyDescent="0.2">
      <c r="B71" s="593">
        <v>4</v>
      </c>
      <c r="C71" s="594"/>
      <c r="D71" s="594"/>
      <c r="E71" s="594"/>
      <c r="F71" s="594"/>
      <c r="G71" s="594"/>
      <c r="H71" s="594"/>
      <c r="I71" s="594"/>
      <c r="J71" s="594"/>
      <c r="K71" s="594"/>
      <c r="L71" s="594"/>
      <c r="M71" s="595"/>
      <c r="N71" s="97"/>
      <c r="O71" s="93"/>
      <c r="P71" s="93"/>
      <c r="Q71" s="93"/>
      <c r="R71" s="93"/>
      <c r="S71" s="93"/>
      <c r="T71" s="93"/>
      <c r="U71" s="93"/>
      <c r="V71" s="93"/>
      <c r="W71" s="93"/>
      <c r="X71" s="98"/>
      <c r="Y71" s="95"/>
      <c r="Z71" s="93"/>
      <c r="AA71" s="93"/>
      <c r="AB71" s="93"/>
      <c r="AC71" s="93"/>
      <c r="AD71" s="93"/>
      <c r="AE71" s="93"/>
      <c r="AF71" s="93"/>
      <c r="AG71" s="93"/>
      <c r="AH71" s="96"/>
      <c r="AI71" s="97"/>
      <c r="AJ71" s="93"/>
      <c r="AK71" s="93"/>
      <c r="AL71" s="93"/>
      <c r="AM71" s="93"/>
      <c r="AN71" s="93"/>
      <c r="AO71" s="93"/>
      <c r="AP71" s="98"/>
      <c r="AQ71" s="95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6"/>
    </row>
    <row r="72" spans="2:61" s="94" customFormat="1" ht="15" hidden="1" customHeight="1" outlineLevel="1" x14ac:dyDescent="0.2">
      <c r="B72" s="593">
        <v>5</v>
      </c>
      <c r="C72" s="594"/>
      <c r="D72" s="594"/>
      <c r="E72" s="594"/>
      <c r="F72" s="594"/>
      <c r="G72" s="594"/>
      <c r="H72" s="594"/>
      <c r="I72" s="594"/>
      <c r="J72" s="594"/>
      <c r="K72" s="594"/>
      <c r="L72" s="594"/>
      <c r="M72" s="595"/>
      <c r="N72" s="97"/>
      <c r="O72" s="93"/>
      <c r="P72" s="93"/>
      <c r="Q72" s="93"/>
      <c r="R72" s="93"/>
      <c r="S72" s="93"/>
      <c r="T72" s="93"/>
      <c r="U72" s="93"/>
      <c r="V72" s="93"/>
      <c r="W72" s="93"/>
      <c r="X72" s="98"/>
      <c r="Y72" s="95"/>
      <c r="Z72" s="93"/>
      <c r="AA72" s="93"/>
      <c r="AB72" s="93"/>
      <c r="AC72" s="93"/>
      <c r="AD72" s="93"/>
      <c r="AE72" s="93"/>
      <c r="AF72" s="93"/>
      <c r="AG72" s="93"/>
      <c r="AH72" s="96"/>
      <c r="AI72" s="97"/>
      <c r="AJ72" s="93"/>
      <c r="AK72" s="93"/>
      <c r="AL72" s="93"/>
      <c r="AM72" s="93"/>
      <c r="AN72" s="93"/>
      <c r="AO72" s="93"/>
      <c r="AP72" s="98"/>
      <c r="AQ72" s="95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6"/>
    </row>
    <row r="73" spans="2:61" s="94" customFormat="1" ht="15" hidden="1" customHeight="1" outlineLevel="1" x14ac:dyDescent="0.2">
      <c r="B73" s="593">
        <v>6</v>
      </c>
      <c r="C73" s="594"/>
      <c r="D73" s="594"/>
      <c r="E73" s="594"/>
      <c r="F73" s="594"/>
      <c r="G73" s="594"/>
      <c r="H73" s="594"/>
      <c r="I73" s="594"/>
      <c r="J73" s="594"/>
      <c r="K73" s="594"/>
      <c r="L73" s="594"/>
      <c r="M73" s="595"/>
      <c r="N73" s="97"/>
      <c r="O73" s="93"/>
      <c r="P73" s="93"/>
      <c r="Q73" s="93"/>
      <c r="R73" s="93"/>
      <c r="S73" s="93"/>
      <c r="T73" s="93"/>
      <c r="U73" s="93"/>
      <c r="V73" s="93"/>
      <c r="W73" s="93"/>
      <c r="X73" s="98"/>
      <c r="Y73" s="95"/>
      <c r="Z73" s="93"/>
      <c r="AA73" s="93"/>
      <c r="AB73" s="93"/>
      <c r="AC73" s="93"/>
      <c r="AD73" s="93"/>
      <c r="AE73" s="93"/>
      <c r="AF73" s="93"/>
      <c r="AG73" s="93"/>
      <c r="AH73" s="96"/>
      <c r="AI73" s="97"/>
      <c r="AJ73" s="93"/>
      <c r="AK73" s="93"/>
      <c r="AL73" s="93"/>
      <c r="AM73" s="93"/>
      <c r="AN73" s="93"/>
      <c r="AO73" s="93"/>
      <c r="AP73" s="98"/>
      <c r="AQ73" s="95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6"/>
    </row>
    <row r="74" spans="2:61" s="94" customFormat="1" ht="15" hidden="1" customHeight="1" outlineLevel="1" x14ac:dyDescent="0.2">
      <c r="B74" s="593">
        <v>7</v>
      </c>
      <c r="C74" s="594"/>
      <c r="D74" s="594"/>
      <c r="E74" s="594"/>
      <c r="F74" s="594"/>
      <c r="G74" s="594"/>
      <c r="H74" s="594"/>
      <c r="I74" s="594"/>
      <c r="J74" s="594"/>
      <c r="K74" s="594"/>
      <c r="L74" s="594"/>
      <c r="M74" s="595"/>
      <c r="N74" s="97"/>
      <c r="O74" s="93"/>
      <c r="P74" s="93"/>
      <c r="Q74" s="93"/>
      <c r="R74" s="93"/>
      <c r="S74" s="93"/>
      <c r="T74" s="93"/>
      <c r="U74" s="93"/>
      <c r="V74" s="93"/>
      <c r="W74" s="93"/>
      <c r="X74" s="98"/>
      <c r="Y74" s="95"/>
      <c r="Z74" s="93"/>
      <c r="AA74" s="93"/>
      <c r="AB74" s="93"/>
      <c r="AC74" s="93"/>
      <c r="AD74" s="93"/>
      <c r="AE74" s="93"/>
      <c r="AF74" s="93"/>
      <c r="AG74" s="93"/>
      <c r="AH74" s="96"/>
      <c r="AI74" s="97"/>
      <c r="AJ74" s="93"/>
      <c r="AK74" s="93"/>
      <c r="AL74" s="93"/>
      <c r="AM74" s="93"/>
      <c r="AN74" s="93"/>
      <c r="AO74" s="93"/>
      <c r="AP74" s="98"/>
      <c r="AQ74" s="95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6"/>
    </row>
    <row r="75" spans="2:61" s="94" customFormat="1" ht="15" hidden="1" customHeight="1" outlineLevel="1" x14ac:dyDescent="0.2">
      <c r="B75" s="593">
        <v>8</v>
      </c>
      <c r="C75" s="594"/>
      <c r="D75" s="594"/>
      <c r="E75" s="594"/>
      <c r="F75" s="594"/>
      <c r="G75" s="594"/>
      <c r="H75" s="594"/>
      <c r="I75" s="594"/>
      <c r="J75" s="594"/>
      <c r="K75" s="594"/>
      <c r="L75" s="594"/>
      <c r="M75" s="595"/>
      <c r="N75" s="97"/>
      <c r="O75" s="93"/>
      <c r="P75" s="93"/>
      <c r="Q75" s="93"/>
      <c r="R75" s="93"/>
      <c r="S75" s="93"/>
      <c r="T75" s="93"/>
      <c r="U75" s="93"/>
      <c r="V75" s="93"/>
      <c r="W75" s="93"/>
      <c r="X75" s="98"/>
      <c r="Y75" s="95"/>
      <c r="Z75" s="93"/>
      <c r="AA75" s="93"/>
      <c r="AB75" s="93"/>
      <c r="AC75" s="93"/>
      <c r="AD75" s="93"/>
      <c r="AE75" s="93"/>
      <c r="AF75" s="93"/>
      <c r="AG75" s="93"/>
      <c r="AH75" s="96"/>
      <c r="AI75" s="97"/>
      <c r="AJ75" s="93"/>
      <c r="AK75" s="93"/>
      <c r="AL75" s="93"/>
      <c r="AM75" s="93"/>
      <c r="AN75" s="93"/>
      <c r="AO75" s="93"/>
      <c r="AP75" s="98"/>
      <c r="AQ75" s="95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6"/>
    </row>
    <row r="76" spans="2:61" s="94" customFormat="1" ht="15" hidden="1" customHeight="1" outlineLevel="1" x14ac:dyDescent="0.2">
      <c r="B76" s="593">
        <v>9</v>
      </c>
      <c r="C76" s="594"/>
      <c r="D76" s="594"/>
      <c r="E76" s="594"/>
      <c r="F76" s="594"/>
      <c r="G76" s="594"/>
      <c r="H76" s="594"/>
      <c r="I76" s="594"/>
      <c r="J76" s="594"/>
      <c r="K76" s="594"/>
      <c r="L76" s="594"/>
      <c r="M76" s="595"/>
      <c r="N76" s="97"/>
      <c r="O76" s="93"/>
      <c r="P76" s="93"/>
      <c r="Q76" s="93"/>
      <c r="R76" s="93"/>
      <c r="S76" s="93"/>
      <c r="T76" s="93"/>
      <c r="U76" s="93"/>
      <c r="V76" s="93"/>
      <c r="W76" s="93"/>
      <c r="X76" s="98"/>
      <c r="Y76" s="95"/>
      <c r="Z76" s="93"/>
      <c r="AA76" s="93"/>
      <c r="AB76" s="93"/>
      <c r="AC76" s="93"/>
      <c r="AD76" s="93"/>
      <c r="AE76" s="93"/>
      <c r="AF76" s="93"/>
      <c r="AG76" s="93"/>
      <c r="AH76" s="96"/>
      <c r="AI76" s="97"/>
      <c r="AJ76" s="93"/>
      <c r="AK76" s="93"/>
      <c r="AL76" s="93"/>
      <c r="AM76" s="93"/>
      <c r="AN76" s="93"/>
      <c r="AO76" s="93"/>
      <c r="AP76" s="98"/>
      <c r="AQ76" s="95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6"/>
    </row>
    <row r="77" spans="2:61" s="94" customFormat="1" ht="18" hidden="1" customHeight="1" outlineLevel="1" x14ac:dyDescent="0.2">
      <c r="B77" s="593">
        <v>10</v>
      </c>
      <c r="C77" s="594"/>
      <c r="D77" s="594"/>
      <c r="E77" s="594"/>
      <c r="F77" s="594"/>
      <c r="G77" s="594"/>
      <c r="H77" s="594"/>
      <c r="I77" s="594"/>
      <c r="J77" s="594"/>
      <c r="K77" s="594"/>
      <c r="L77" s="594"/>
      <c r="M77" s="595"/>
      <c r="N77" s="97"/>
      <c r="O77" s="93"/>
      <c r="P77" s="93"/>
      <c r="Q77" s="93"/>
      <c r="R77" s="93"/>
      <c r="S77" s="93"/>
      <c r="T77" s="93"/>
      <c r="U77" s="93"/>
      <c r="V77" s="93"/>
      <c r="W77" s="93"/>
      <c r="X77" s="98"/>
      <c r="Y77" s="95"/>
      <c r="Z77" s="93"/>
      <c r="AA77" s="93"/>
      <c r="AB77" s="93"/>
      <c r="AC77" s="93"/>
      <c r="AD77" s="93"/>
      <c r="AE77" s="93"/>
      <c r="AF77" s="93"/>
      <c r="AG77" s="93"/>
      <c r="AH77" s="96"/>
      <c r="AI77" s="97"/>
      <c r="AJ77" s="93"/>
      <c r="AK77" s="93"/>
      <c r="AL77" s="93"/>
      <c r="AM77" s="93"/>
      <c r="AN77" s="93"/>
      <c r="AO77" s="93"/>
      <c r="AP77" s="98"/>
      <c r="AQ77" s="95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6"/>
    </row>
    <row r="78" spans="2:61" s="94" customFormat="1" ht="18" hidden="1" customHeight="1" outlineLevel="1" x14ac:dyDescent="0.2">
      <c r="B78" s="593">
        <v>11</v>
      </c>
      <c r="C78" s="594"/>
      <c r="D78" s="594"/>
      <c r="E78" s="594"/>
      <c r="F78" s="594"/>
      <c r="G78" s="594"/>
      <c r="H78" s="594"/>
      <c r="I78" s="594"/>
      <c r="J78" s="594"/>
      <c r="K78" s="594"/>
      <c r="L78" s="594"/>
      <c r="M78" s="595"/>
      <c r="N78" s="97"/>
      <c r="O78" s="93"/>
      <c r="P78" s="93"/>
      <c r="Q78" s="93"/>
      <c r="R78" s="93"/>
      <c r="S78" s="93"/>
      <c r="T78" s="93"/>
      <c r="U78" s="93"/>
      <c r="V78" s="93"/>
      <c r="W78" s="93"/>
      <c r="X78" s="98"/>
      <c r="Y78" s="95"/>
      <c r="Z78" s="93"/>
      <c r="AA78" s="93"/>
      <c r="AB78" s="93"/>
      <c r="AC78" s="93"/>
      <c r="AD78" s="93"/>
      <c r="AE78" s="93"/>
      <c r="AF78" s="93"/>
      <c r="AG78" s="93"/>
      <c r="AH78" s="96"/>
      <c r="AI78" s="97"/>
      <c r="AJ78" s="93"/>
      <c r="AK78" s="93"/>
      <c r="AL78" s="93"/>
      <c r="AM78" s="93"/>
      <c r="AN78" s="93"/>
      <c r="AO78" s="93"/>
      <c r="AP78" s="98"/>
      <c r="AQ78" s="95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6"/>
    </row>
    <row r="79" spans="2:61" s="94" customFormat="1" ht="18" hidden="1" customHeight="1" outlineLevel="1" x14ac:dyDescent="0.2">
      <c r="B79" s="593">
        <v>12</v>
      </c>
      <c r="C79" s="594"/>
      <c r="D79" s="594"/>
      <c r="E79" s="594"/>
      <c r="F79" s="594"/>
      <c r="G79" s="594"/>
      <c r="H79" s="594"/>
      <c r="I79" s="594"/>
      <c r="J79" s="594"/>
      <c r="K79" s="594"/>
      <c r="L79" s="594"/>
      <c r="M79" s="595"/>
      <c r="N79" s="97"/>
      <c r="O79" s="93"/>
      <c r="P79" s="93"/>
      <c r="Q79" s="93"/>
      <c r="R79" s="93"/>
      <c r="S79" s="93"/>
      <c r="T79" s="93"/>
      <c r="U79" s="93"/>
      <c r="V79" s="93"/>
      <c r="W79" s="93"/>
      <c r="X79" s="98"/>
      <c r="Y79" s="95"/>
      <c r="Z79" s="93"/>
      <c r="AA79" s="93"/>
      <c r="AB79" s="93"/>
      <c r="AC79" s="93"/>
      <c r="AD79" s="93"/>
      <c r="AE79" s="93"/>
      <c r="AF79" s="93"/>
      <c r="AG79" s="93"/>
      <c r="AH79" s="96"/>
      <c r="AI79" s="97"/>
      <c r="AJ79" s="93"/>
      <c r="AK79" s="93"/>
      <c r="AL79" s="93"/>
      <c r="AM79" s="93"/>
      <c r="AN79" s="93"/>
      <c r="AO79" s="93"/>
      <c r="AP79" s="98"/>
      <c r="AQ79" s="95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6"/>
    </row>
    <row r="80" spans="2:61" s="94" customFormat="1" ht="18" hidden="1" customHeight="1" outlineLevel="1" x14ac:dyDescent="0.2">
      <c r="B80" s="593">
        <v>13</v>
      </c>
      <c r="C80" s="594"/>
      <c r="D80" s="594"/>
      <c r="E80" s="594"/>
      <c r="F80" s="594"/>
      <c r="G80" s="594"/>
      <c r="H80" s="594"/>
      <c r="I80" s="594"/>
      <c r="J80" s="594"/>
      <c r="K80" s="594"/>
      <c r="L80" s="594"/>
      <c r="M80" s="595"/>
      <c r="N80" s="97"/>
      <c r="O80" s="93"/>
      <c r="P80" s="93"/>
      <c r="Q80" s="93"/>
      <c r="R80" s="93"/>
      <c r="S80" s="93"/>
      <c r="T80" s="93"/>
      <c r="U80" s="93"/>
      <c r="V80" s="93"/>
      <c r="W80" s="93"/>
      <c r="X80" s="98"/>
      <c r="Y80" s="95"/>
      <c r="Z80" s="93"/>
      <c r="AA80" s="93"/>
      <c r="AB80" s="93"/>
      <c r="AC80" s="93"/>
      <c r="AD80" s="93"/>
      <c r="AE80" s="93"/>
      <c r="AF80" s="93"/>
      <c r="AG80" s="93"/>
      <c r="AH80" s="96"/>
      <c r="AI80" s="97"/>
      <c r="AJ80" s="93"/>
      <c r="AK80" s="93"/>
      <c r="AL80" s="93"/>
      <c r="AM80" s="93"/>
      <c r="AN80" s="93"/>
      <c r="AO80" s="93"/>
      <c r="AP80" s="98"/>
      <c r="AQ80" s="95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6"/>
    </row>
    <row r="81" spans="2:61" s="94" customFormat="1" ht="18" hidden="1" customHeight="1" outlineLevel="1" x14ac:dyDescent="0.2">
      <c r="B81" s="593">
        <v>14</v>
      </c>
      <c r="C81" s="594"/>
      <c r="D81" s="594"/>
      <c r="E81" s="594"/>
      <c r="F81" s="594"/>
      <c r="G81" s="594"/>
      <c r="H81" s="594"/>
      <c r="I81" s="594"/>
      <c r="J81" s="594"/>
      <c r="K81" s="594"/>
      <c r="L81" s="594"/>
      <c r="M81" s="595"/>
      <c r="N81" s="97"/>
      <c r="O81" s="93"/>
      <c r="P81" s="93"/>
      <c r="Q81" s="93"/>
      <c r="R81" s="93"/>
      <c r="S81" s="93"/>
      <c r="T81" s="93"/>
      <c r="U81" s="93"/>
      <c r="V81" s="93"/>
      <c r="W81" s="93"/>
      <c r="X81" s="98"/>
      <c r="Y81" s="95"/>
      <c r="Z81" s="93"/>
      <c r="AA81" s="93"/>
      <c r="AB81" s="93"/>
      <c r="AC81" s="93"/>
      <c r="AD81" s="93"/>
      <c r="AE81" s="93"/>
      <c r="AF81" s="93"/>
      <c r="AG81" s="93"/>
      <c r="AH81" s="96"/>
      <c r="AI81" s="97"/>
      <c r="AJ81" s="93"/>
      <c r="AK81" s="93"/>
      <c r="AL81" s="93"/>
      <c r="AM81" s="93"/>
      <c r="AN81" s="93"/>
      <c r="AO81" s="93"/>
      <c r="AP81" s="98"/>
      <c r="AQ81" s="95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6"/>
    </row>
    <row r="82" spans="2:61" s="94" customFormat="1" ht="18" hidden="1" customHeight="1" outlineLevel="1" x14ac:dyDescent="0.2">
      <c r="B82" s="593">
        <v>15</v>
      </c>
      <c r="C82" s="594"/>
      <c r="D82" s="594"/>
      <c r="E82" s="594"/>
      <c r="F82" s="594"/>
      <c r="G82" s="594"/>
      <c r="H82" s="594"/>
      <c r="I82" s="594"/>
      <c r="J82" s="594"/>
      <c r="K82" s="594"/>
      <c r="L82" s="594"/>
      <c r="M82" s="595"/>
      <c r="N82" s="97"/>
      <c r="O82" s="93"/>
      <c r="P82" s="93"/>
      <c r="Q82" s="93"/>
      <c r="R82" s="93"/>
      <c r="S82" s="93"/>
      <c r="T82" s="93"/>
      <c r="U82" s="93"/>
      <c r="V82" s="93"/>
      <c r="W82" s="93"/>
      <c r="X82" s="98"/>
      <c r="Y82" s="95"/>
      <c r="Z82" s="93"/>
      <c r="AA82" s="93"/>
      <c r="AB82" s="93"/>
      <c r="AC82" s="93"/>
      <c r="AD82" s="93"/>
      <c r="AE82" s="93"/>
      <c r="AF82" s="93"/>
      <c r="AG82" s="93"/>
      <c r="AH82" s="96"/>
      <c r="AI82" s="97"/>
      <c r="AJ82" s="93"/>
      <c r="AK82" s="93"/>
      <c r="AL82" s="93"/>
      <c r="AM82" s="93"/>
      <c r="AN82" s="93"/>
      <c r="AO82" s="93"/>
      <c r="AP82" s="98"/>
      <c r="AQ82" s="95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6"/>
    </row>
    <row r="83" spans="2:61" s="94" customFormat="1" ht="18" hidden="1" customHeight="1" outlineLevel="1" x14ac:dyDescent="0.2">
      <c r="B83" s="593">
        <v>16</v>
      </c>
      <c r="C83" s="594"/>
      <c r="D83" s="594"/>
      <c r="E83" s="594"/>
      <c r="F83" s="594"/>
      <c r="G83" s="594"/>
      <c r="H83" s="594"/>
      <c r="I83" s="594"/>
      <c r="J83" s="594"/>
      <c r="K83" s="594"/>
      <c r="L83" s="594"/>
      <c r="M83" s="595"/>
      <c r="N83" s="97"/>
      <c r="O83" s="93"/>
      <c r="P83" s="93"/>
      <c r="Q83" s="93"/>
      <c r="R83" s="93"/>
      <c r="S83" s="93"/>
      <c r="T83" s="93"/>
      <c r="U83" s="93"/>
      <c r="V83" s="93"/>
      <c r="W83" s="93"/>
      <c r="X83" s="98"/>
      <c r="Y83" s="95"/>
      <c r="Z83" s="93"/>
      <c r="AA83" s="93"/>
      <c r="AB83" s="93"/>
      <c r="AC83" s="93"/>
      <c r="AD83" s="93"/>
      <c r="AE83" s="93"/>
      <c r="AF83" s="93"/>
      <c r="AG83" s="93"/>
      <c r="AH83" s="96"/>
      <c r="AI83" s="97"/>
      <c r="AJ83" s="93"/>
      <c r="AK83" s="93"/>
      <c r="AL83" s="93"/>
      <c r="AM83" s="93"/>
      <c r="AN83" s="93"/>
      <c r="AO83" s="93"/>
      <c r="AP83" s="98"/>
      <c r="AQ83" s="95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6"/>
    </row>
    <row r="84" spans="2:61" s="94" customFormat="1" ht="18" hidden="1" customHeight="1" outlineLevel="1" x14ac:dyDescent="0.2">
      <c r="B84" s="593">
        <v>17</v>
      </c>
      <c r="C84" s="594"/>
      <c r="D84" s="594"/>
      <c r="E84" s="594"/>
      <c r="F84" s="594"/>
      <c r="G84" s="594"/>
      <c r="H84" s="594"/>
      <c r="I84" s="594"/>
      <c r="J84" s="594"/>
      <c r="K84" s="594"/>
      <c r="L84" s="594"/>
      <c r="M84" s="595"/>
      <c r="N84" s="97"/>
      <c r="O84" s="93"/>
      <c r="P84" s="93"/>
      <c r="Q84" s="93"/>
      <c r="R84" s="93"/>
      <c r="S84" s="93"/>
      <c r="T84" s="93"/>
      <c r="U84" s="93"/>
      <c r="V84" s="93"/>
      <c r="W84" s="93"/>
      <c r="X84" s="98"/>
      <c r="Y84" s="95"/>
      <c r="Z84" s="93"/>
      <c r="AA84" s="93"/>
      <c r="AB84" s="93"/>
      <c r="AC84" s="93"/>
      <c r="AD84" s="93"/>
      <c r="AE84" s="93"/>
      <c r="AF84" s="93"/>
      <c r="AG84" s="93"/>
      <c r="AH84" s="96"/>
      <c r="AI84" s="97"/>
      <c r="AJ84" s="93"/>
      <c r="AK84" s="93"/>
      <c r="AL84" s="93"/>
      <c r="AM84" s="93"/>
      <c r="AN84" s="93"/>
      <c r="AO84" s="93"/>
      <c r="AP84" s="98"/>
      <c r="AQ84" s="95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6"/>
    </row>
    <row r="85" spans="2:61" s="94" customFormat="1" ht="18" hidden="1" customHeight="1" outlineLevel="1" x14ac:dyDescent="0.2">
      <c r="B85" s="593">
        <v>18</v>
      </c>
      <c r="C85" s="594"/>
      <c r="D85" s="594"/>
      <c r="E85" s="594"/>
      <c r="F85" s="594"/>
      <c r="G85" s="594"/>
      <c r="H85" s="594"/>
      <c r="I85" s="594"/>
      <c r="J85" s="594"/>
      <c r="K85" s="594"/>
      <c r="L85" s="594"/>
      <c r="M85" s="595"/>
      <c r="N85" s="97"/>
      <c r="O85" s="93"/>
      <c r="P85" s="93"/>
      <c r="Q85" s="93"/>
      <c r="R85" s="93"/>
      <c r="S85" s="93"/>
      <c r="T85" s="93"/>
      <c r="U85" s="93"/>
      <c r="V85" s="93"/>
      <c r="W85" s="93"/>
      <c r="X85" s="98"/>
      <c r="Y85" s="95"/>
      <c r="Z85" s="93"/>
      <c r="AA85" s="93"/>
      <c r="AB85" s="93"/>
      <c r="AC85" s="93"/>
      <c r="AD85" s="93"/>
      <c r="AE85" s="93"/>
      <c r="AF85" s="93"/>
      <c r="AG85" s="93"/>
      <c r="AH85" s="96"/>
      <c r="AI85" s="97"/>
      <c r="AJ85" s="93"/>
      <c r="AK85" s="93"/>
      <c r="AL85" s="93"/>
      <c r="AM85" s="93"/>
      <c r="AN85" s="93"/>
      <c r="AO85" s="93"/>
      <c r="AP85" s="98"/>
      <c r="AQ85" s="95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6"/>
    </row>
    <row r="86" spans="2:61" s="94" customFormat="1" ht="18" hidden="1" customHeight="1" outlineLevel="1" x14ac:dyDescent="0.2">
      <c r="B86" s="593">
        <v>19</v>
      </c>
      <c r="C86" s="594"/>
      <c r="D86" s="594"/>
      <c r="E86" s="594"/>
      <c r="F86" s="594"/>
      <c r="G86" s="594"/>
      <c r="H86" s="594"/>
      <c r="I86" s="594"/>
      <c r="J86" s="594"/>
      <c r="K86" s="594"/>
      <c r="L86" s="594"/>
      <c r="M86" s="595"/>
      <c r="N86" s="97"/>
      <c r="O86" s="93"/>
      <c r="P86" s="93"/>
      <c r="Q86" s="93"/>
      <c r="R86" s="93"/>
      <c r="S86" s="93"/>
      <c r="T86" s="93"/>
      <c r="U86" s="93"/>
      <c r="V86" s="93"/>
      <c r="W86" s="93"/>
      <c r="X86" s="98"/>
      <c r="Y86" s="95"/>
      <c r="Z86" s="93"/>
      <c r="AA86" s="93"/>
      <c r="AB86" s="93"/>
      <c r="AC86" s="93"/>
      <c r="AD86" s="93"/>
      <c r="AE86" s="93"/>
      <c r="AF86" s="93"/>
      <c r="AG86" s="93"/>
      <c r="AH86" s="96"/>
      <c r="AI86" s="97"/>
      <c r="AJ86" s="93"/>
      <c r="AK86" s="93"/>
      <c r="AL86" s="93"/>
      <c r="AM86" s="93"/>
      <c r="AN86" s="93"/>
      <c r="AO86" s="93"/>
      <c r="AP86" s="98"/>
      <c r="AQ86" s="95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6"/>
    </row>
    <row r="87" spans="2:61" s="94" customFormat="1" ht="18" hidden="1" customHeight="1" outlineLevel="1" x14ac:dyDescent="0.2">
      <c r="B87" s="593">
        <v>20</v>
      </c>
      <c r="C87" s="594"/>
      <c r="D87" s="594"/>
      <c r="E87" s="594"/>
      <c r="F87" s="594"/>
      <c r="G87" s="594"/>
      <c r="H87" s="594"/>
      <c r="I87" s="594"/>
      <c r="J87" s="594"/>
      <c r="K87" s="594"/>
      <c r="L87" s="594"/>
      <c r="M87" s="595"/>
      <c r="N87" s="97"/>
      <c r="O87" s="93"/>
      <c r="P87" s="93"/>
      <c r="Q87" s="93"/>
      <c r="R87" s="93"/>
      <c r="S87" s="93"/>
      <c r="T87" s="93"/>
      <c r="U87" s="93"/>
      <c r="V87" s="93"/>
      <c r="W87" s="93"/>
      <c r="X87" s="98"/>
      <c r="Y87" s="95"/>
      <c r="Z87" s="93"/>
      <c r="AA87" s="93"/>
      <c r="AB87" s="93"/>
      <c r="AC87" s="93"/>
      <c r="AD87" s="93"/>
      <c r="AE87" s="93"/>
      <c r="AF87" s="93"/>
      <c r="AG87" s="93"/>
      <c r="AH87" s="96"/>
      <c r="AI87" s="97"/>
      <c r="AJ87" s="93"/>
      <c r="AK87" s="93"/>
      <c r="AL87" s="93"/>
      <c r="AM87" s="93"/>
      <c r="AN87" s="93"/>
      <c r="AO87" s="93"/>
      <c r="AP87" s="98"/>
      <c r="AQ87" s="95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6"/>
    </row>
    <row r="88" spans="2:61" s="94" customFormat="1" ht="18" hidden="1" customHeight="1" outlineLevel="1" x14ac:dyDescent="0.2">
      <c r="B88" s="593">
        <v>21</v>
      </c>
      <c r="C88" s="594"/>
      <c r="D88" s="594"/>
      <c r="E88" s="594"/>
      <c r="F88" s="594"/>
      <c r="G88" s="594"/>
      <c r="H88" s="594"/>
      <c r="I88" s="594"/>
      <c r="J88" s="594"/>
      <c r="K88" s="594"/>
      <c r="L88" s="594"/>
      <c r="M88" s="595"/>
      <c r="N88" s="97"/>
      <c r="O88" s="93"/>
      <c r="P88" s="93"/>
      <c r="Q88" s="93"/>
      <c r="R88" s="93"/>
      <c r="S88" s="93"/>
      <c r="T88" s="93"/>
      <c r="U88" s="93"/>
      <c r="V88" s="93"/>
      <c r="W88" s="93"/>
      <c r="X88" s="98"/>
      <c r="Y88" s="95"/>
      <c r="Z88" s="93"/>
      <c r="AA88" s="93"/>
      <c r="AB88" s="93"/>
      <c r="AC88" s="93"/>
      <c r="AD88" s="93"/>
      <c r="AE88" s="93"/>
      <c r="AF88" s="93"/>
      <c r="AG88" s="93"/>
      <c r="AH88" s="96"/>
      <c r="AI88" s="97"/>
      <c r="AJ88" s="93"/>
      <c r="AK88" s="93"/>
      <c r="AL88" s="93"/>
      <c r="AM88" s="93"/>
      <c r="AN88" s="93"/>
      <c r="AO88" s="93"/>
      <c r="AP88" s="98"/>
      <c r="AQ88" s="95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6"/>
    </row>
    <row r="89" spans="2:61" s="94" customFormat="1" ht="18" hidden="1" customHeight="1" outlineLevel="1" x14ac:dyDescent="0.2">
      <c r="B89" s="593">
        <v>22</v>
      </c>
      <c r="C89" s="594"/>
      <c r="D89" s="594"/>
      <c r="E89" s="594"/>
      <c r="F89" s="594"/>
      <c r="G89" s="594"/>
      <c r="H89" s="594"/>
      <c r="I89" s="594"/>
      <c r="J89" s="594"/>
      <c r="K89" s="594"/>
      <c r="L89" s="594"/>
      <c r="M89" s="595"/>
      <c r="N89" s="97"/>
      <c r="O89" s="93"/>
      <c r="P89" s="93"/>
      <c r="Q89" s="93"/>
      <c r="R89" s="93"/>
      <c r="S89" s="93"/>
      <c r="T89" s="93"/>
      <c r="U89" s="93"/>
      <c r="V89" s="93"/>
      <c r="W89" s="93"/>
      <c r="X89" s="98"/>
      <c r="Y89" s="95"/>
      <c r="Z89" s="93"/>
      <c r="AA89" s="93"/>
      <c r="AB89" s="93"/>
      <c r="AC89" s="93"/>
      <c r="AD89" s="93"/>
      <c r="AE89" s="93"/>
      <c r="AF89" s="93"/>
      <c r="AG89" s="93"/>
      <c r="AH89" s="96"/>
      <c r="AI89" s="97"/>
      <c r="AJ89" s="93"/>
      <c r="AK89" s="93"/>
      <c r="AL89" s="93"/>
      <c r="AM89" s="93"/>
      <c r="AN89" s="93"/>
      <c r="AO89" s="93"/>
      <c r="AP89" s="98"/>
      <c r="AQ89" s="95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6"/>
    </row>
    <row r="90" spans="2:61" s="94" customFormat="1" ht="18" hidden="1" customHeight="1" outlineLevel="1" x14ac:dyDescent="0.2">
      <c r="B90" s="593">
        <v>23</v>
      </c>
      <c r="C90" s="594"/>
      <c r="D90" s="594"/>
      <c r="E90" s="594"/>
      <c r="F90" s="594"/>
      <c r="G90" s="594"/>
      <c r="H90" s="594"/>
      <c r="I90" s="594"/>
      <c r="J90" s="594"/>
      <c r="K90" s="594"/>
      <c r="L90" s="594"/>
      <c r="M90" s="595"/>
      <c r="N90" s="97"/>
      <c r="O90" s="93"/>
      <c r="P90" s="93"/>
      <c r="Q90" s="93"/>
      <c r="R90" s="93"/>
      <c r="S90" s="93"/>
      <c r="T90" s="93"/>
      <c r="U90" s="93"/>
      <c r="V90" s="93"/>
      <c r="W90" s="93"/>
      <c r="X90" s="98"/>
      <c r="Y90" s="95"/>
      <c r="Z90" s="93"/>
      <c r="AA90" s="93"/>
      <c r="AB90" s="93"/>
      <c r="AC90" s="93"/>
      <c r="AD90" s="93"/>
      <c r="AE90" s="93"/>
      <c r="AF90" s="93"/>
      <c r="AG90" s="93"/>
      <c r="AH90" s="96"/>
      <c r="AI90" s="97"/>
      <c r="AJ90" s="93"/>
      <c r="AK90" s="93"/>
      <c r="AL90" s="93"/>
      <c r="AM90" s="93"/>
      <c r="AN90" s="93"/>
      <c r="AO90" s="93"/>
      <c r="AP90" s="98"/>
      <c r="AQ90" s="95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6"/>
    </row>
    <row r="91" spans="2:61" s="94" customFormat="1" ht="18" hidden="1" customHeight="1" outlineLevel="1" x14ac:dyDescent="0.2">
      <c r="B91" s="593">
        <v>24</v>
      </c>
      <c r="C91" s="594"/>
      <c r="D91" s="594"/>
      <c r="E91" s="594"/>
      <c r="F91" s="594"/>
      <c r="G91" s="594"/>
      <c r="H91" s="594"/>
      <c r="I91" s="594"/>
      <c r="J91" s="594"/>
      <c r="K91" s="594"/>
      <c r="L91" s="594"/>
      <c r="M91" s="595"/>
      <c r="N91" s="97"/>
      <c r="O91" s="93"/>
      <c r="P91" s="93"/>
      <c r="Q91" s="93"/>
      <c r="R91" s="93"/>
      <c r="S91" s="93"/>
      <c r="T91" s="93"/>
      <c r="U91" s="93"/>
      <c r="V91" s="93"/>
      <c r="W91" s="93"/>
      <c r="X91" s="98"/>
      <c r="Y91" s="95"/>
      <c r="Z91" s="93"/>
      <c r="AA91" s="93"/>
      <c r="AB91" s="93"/>
      <c r="AC91" s="93"/>
      <c r="AD91" s="93"/>
      <c r="AE91" s="93"/>
      <c r="AF91" s="93"/>
      <c r="AG91" s="93"/>
      <c r="AH91" s="96"/>
      <c r="AI91" s="97"/>
      <c r="AJ91" s="93"/>
      <c r="AK91" s="93"/>
      <c r="AL91" s="93"/>
      <c r="AM91" s="93"/>
      <c r="AN91" s="93"/>
      <c r="AO91" s="93"/>
      <c r="AP91" s="98"/>
      <c r="AQ91" s="95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6"/>
    </row>
    <row r="92" spans="2:61" s="94" customFormat="1" ht="18" hidden="1" customHeight="1" outlineLevel="1" x14ac:dyDescent="0.2">
      <c r="B92" s="601">
        <v>25</v>
      </c>
      <c r="C92" s="602"/>
      <c r="D92" s="602"/>
      <c r="E92" s="602"/>
      <c r="F92" s="602"/>
      <c r="G92" s="602"/>
      <c r="H92" s="602"/>
      <c r="I92" s="602"/>
      <c r="J92" s="602"/>
      <c r="K92" s="602"/>
      <c r="L92" s="602"/>
      <c r="M92" s="603"/>
      <c r="N92" s="107"/>
      <c r="O92" s="105"/>
      <c r="P92" s="105"/>
      <c r="Q92" s="105"/>
      <c r="R92" s="105"/>
      <c r="S92" s="105"/>
      <c r="T92" s="105"/>
      <c r="U92" s="105"/>
      <c r="V92" s="105"/>
      <c r="W92" s="105"/>
      <c r="X92" s="108"/>
      <c r="Y92" s="104"/>
      <c r="Z92" s="105"/>
      <c r="AA92" s="105"/>
      <c r="AB92" s="105"/>
      <c r="AC92" s="105"/>
      <c r="AD92" s="105"/>
      <c r="AE92" s="105"/>
      <c r="AF92" s="105"/>
      <c r="AG92" s="105"/>
      <c r="AH92" s="106"/>
      <c r="AI92" s="107"/>
      <c r="AJ92" s="105"/>
      <c r="AK92" s="105"/>
      <c r="AL92" s="105"/>
      <c r="AM92" s="105"/>
      <c r="AN92" s="105"/>
      <c r="AO92" s="105"/>
      <c r="AP92" s="108"/>
      <c r="AQ92" s="104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  <c r="BD92" s="105"/>
      <c r="BE92" s="105"/>
      <c r="BF92" s="105"/>
      <c r="BG92" s="105"/>
      <c r="BH92" s="106"/>
    </row>
    <row r="93" spans="2:61" s="17" customFormat="1" ht="3" customHeight="1" thickBot="1" x14ac:dyDescent="0.25">
      <c r="B93" s="109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>
        <f>COUNT(N68:N92)</f>
        <v>0</v>
      </c>
      <c r="O93" s="110">
        <f t="shared" ref="O93:BH93" si="7">COUNT(O68:O92)</f>
        <v>0</v>
      </c>
      <c r="P93" s="110">
        <f t="shared" si="7"/>
        <v>0</v>
      </c>
      <c r="Q93" s="110">
        <f t="shared" si="7"/>
        <v>0</v>
      </c>
      <c r="R93" s="110">
        <f t="shared" si="7"/>
        <v>0</v>
      </c>
      <c r="S93" s="110">
        <f t="shared" si="7"/>
        <v>0</v>
      </c>
      <c r="T93" s="110">
        <f t="shared" si="7"/>
        <v>0</v>
      </c>
      <c r="U93" s="110">
        <f t="shared" si="7"/>
        <v>0</v>
      </c>
      <c r="V93" s="110">
        <f t="shared" si="7"/>
        <v>0</v>
      </c>
      <c r="W93" s="110">
        <f t="shared" si="7"/>
        <v>0</v>
      </c>
      <c r="X93" s="110">
        <f t="shared" si="7"/>
        <v>0</v>
      </c>
      <c r="Y93" s="110">
        <f t="shared" si="7"/>
        <v>0</v>
      </c>
      <c r="Z93" s="110">
        <f t="shared" si="7"/>
        <v>0</v>
      </c>
      <c r="AA93" s="110">
        <f t="shared" si="7"/>
        <v>0</v>
      </c>
      <c r="AB93" s="110">
        <f t="shared" si="7"/>
        <v>0</v>
      </c>
      <c r="AC93" s="110">
        <f t="shared" si="7"/>
        <v>0</v>
      </c>
      <c r="AD93" s="110">
        <f t="shared" si="7"/>
        <v>0</v>
      </c>
      <c r="AE93" s="110">
        <f t="shared" si="7"/>
        <v>0</v>
      </c>
      <c r="AF93" s="110">
        <f t="shared" si="7"/>
        <v>0</v>
      </c>
      <c r="AG93" s="110">
        <f t="shared" si="7"/>
        <v>0</v>
      </c>
      <c r="AH93" s="110">
        <f t="shared" si="7"/>
        <v>0</v>
      </c>
      <c r="AI93" s="110">
        <f t="shared" si="7"/>
        <v>0</v>
      </c>
      <c r="AJ93" s="110">
        <f t="shared" si="7"/>
        <v>0</v>
      </c>
      <c r="AK93" s="110">
        <f t="shared" si="7"/>
        <v>0</v>
      </c>
      <c r="AL93" s="110">
        <f t="shared" si="7"/>
        <v>0</v>
      </c>
      <c r="AM93" s="110">
        <f t="shared" si="7"/>
        <v>0</v>
      </c>
      <c r="AN93" s="110">
        <f t="shared" si="7"/>
        <v>0</v>
      </c>
      <c r="AO93" s="110">
        <f t="shared" si="7"/>
        <v>0</v>
      </c>
      <c r="AP93" s="110">
        <f t="shared" si="7"/>
        <v>0</v>
      </c>
      <c r="AQ93" s="109">
        <f t="shared" si="7"/>
        <v>0</v>
      </c>
      <c r="AR93" s="109">
        <f t="shared" si="7"/>
        <v>0</v>
      </c>
      <c r="AS93" s="110">
        <f t="shared" si="7"/>
        <v>0</v>
      </c>
      <c r="AT93" s="110">
        <f t="shared" si="7"/>
        <v>0</v>
      </c>
      <c r="AU93" s="110">
        <f t="shared" si="7"/>
        <v>0</v>
      </c>
      <c r="AV93" s="110">
        <f t="shared" si="7"/>
        <v>0</v>
      </c>
      <c r="AW93" s="110">
        <f t="shared" si="7"/>
        <v>0</v>
      </c>
      <c r="AX93" s="110">
        <f t="shared" si="7"/>
        <v>0</v>
      </c>
      <c r="AY93" s="110">
        <f t="shared" si="7"/>
        <v>0</v>
      </c>
      <c r="AZ93" s="110">
        <f t="shared" si="7"/>
        <v>0</v>
      </c>
      <c r="BA93" s="110">
        <f t="shared" si="7"/>
        <v>0</v>
      </c>
      <c r="BB93" s="110">
        <f t="shared" si="7"/>
        <v>0</v>
      </c>
      <c r="BC93" s="110">
        <f t="shared" si="7"/>
        <v>0</v>
      </c>
      <c r="BD93" s="110">
        <f t="shared" si="7"/>
        <v>0</v>
      </c>
      <c r="BE93" s="110">
        <f t="shared" si="7"/>
        <v>0</v>
      </c>
      <c r="BF93" s="110">
        <f t="shared" si="7"/>
        <v>0</v>
      </c>
      <c r="BG93" s="110">
        <f t="shared" si="7"/>
        <v>0</v>
      </c>
      <c r="BH93" s="111">
        <f t="shared" si="7"/>
        <v>0</v>
      </c>
    </row>
    <row r="94" spans="2:61" s="121" customFormat="1" ht="18" customHeight="1" collapsed="1" thickBot="1" x14ac:dyDescent="0.3">
      <c r="B94" s="117"/>
      <c r="C94" s="118"/>
      <c r="D94" s="118"/>
      <c r="E94" s="119"/>
      <c r="F94" s="79"/>
      <c r="G94" s="79"/>
      <c r="H94" s="79"/>
      <c r="I94" s="79"/>
      <c r="J94" s="79"/>
      <c r="K94" s="596" t="s">
        <v>137</v>
      </c>
      <c r="L94" s="596"/>
      <c r="M94" s="597"/>
      <c r="N94" s="81">
        <f t="shared" ref="N94:BH94" si="8">SUM(N95:N119)</f>
        <v>0</v>
      </c>
      <c r="O94" s="81">
        <f t="shared" si="8"/>
        <v>1566</v>
      </c>
      <c r="P94" s="81">
        <f t="shared" si="8"/>
        <v>4811</v>
      </c>
      <c r="Q94" s="81">
        <f t="shared" si="8"/>
        <v>5433</v>
      </c>
      <c r="R94" s="81">
        <f t="shared" si="8"/>
        <v>5268</v>
      </c>
      <c r="S94" s="81">
        <f t="shared" si="8"/>
        <v>6076</v>
      </c>
      <c r="T94" s="81">
        <f t="shared" si="8"/>
        <v>4043</v>
      </c>
      <c r="U94" s="81">
        <f t="shared" si="8"/>
        <v>5332</v>
      </c>
      <c r="V94" s="81">
        <f t="shared" si="8"/>
        <v>0</v>
      </c>
      <c r="W94" s="81">
        <f t="shared" si="8"/>
        <v>6489</v>
      </c>
      <c r="X94" s="81">
        <f t="shared" si="8"/>
        <v>0</v>
      </c>
      <c r="Y94" s="81">
        <f t="shared" si="8"/>
        <v>5212</v>
      </c>
      <c r="Z94" s="81">
        <f t="shared" si="8"/>
        <v>3041</v>
      </c>
      <c r="AA94" s="81">
        <f t="shared" si="8"/>
        <v>6464</v>
      </c>
      <c r="AB94" s="81">
        <f t="shared" si="8"/>
        <v>5581</v>
      </c>
      <c r="AC94" s="81">
        <f t="shared" si="8"/>
        <v>0</v>
      </c>
      <c r="AD94" s="81">
        <f t="shared" si="8"/>
        <v>0</v>
      </c>
      <c r="AE94" s="81">
        <f t="shared" si="8"/>
        <v>5428</v>
      </c>
      <c r="AF94" s="81">
        <f t="shared" si="8"/>
        <v>0</v>
      </c>
      <c r="AG94" s="81">
        <f t="shared" si="8"/>
        <v>0</v>
      </c>
      <c r="AH94" s="81">
        <f t="shared" si="8"/>
        <v>0</v>
      </c>
      <c r="AI94" s="81">
        <f t="shared" si="8"/>
        <v>0</v>
      </c>
      <c r="AJ94" s="81">
        <f t="shared" si="8"/>
        <v>0</v>
      </c>
      <c r="AK94" s="81">
        <f t="shared" si="8"/>
        <v>0</v>
      </c>
      <c r="AL94" s="81">
        <f t="shared" si="8"/>
        <v>0</v>
      </c>
      <c r="AM94" s="81">
        <f t="shared" si="8"/>
        <v>1338</v>
      </c>
      <c r="AN94" s="81">
        <f t="shared" si="8"/>
        <v>0</v>
      </c>
      <c r="AO94" s="81">
        <f t="shared" si="8"/>
        <v>0</v>
      </c>
      <c r="AP94" s="81">
        <f t="shared" si="8"/>
        <v>0</v>
      </c>
      <c r="AQ94" s="81">
        <f t="shared" si="8"/>
        <v>0</v>
      </c>
      <c r="AR94" s="81">
        <f t="shared" si="8"/>
        <v>0</v>
      </c>
      <c r="AS94" s="81">
        <f t="shared" si="8"/>
        <v>0</v>
      </c>
      <c r="AT94" s="81">
        <f t="shared" si="8"/>
        <v>0</v>
      </c>
      <c r="AU94" s="81">
        <f t="shared" si="8"/>
        <v>0</v>
      </c>
      <c r="AV94" s="81">
        <f t="shared" si="8"/>
        <v>0</v>
      </c>
      <c r="AW94" s="81">
        <f t="shared" si="8"/>
        <v>0</v>
      </c>
      <c r="AX94" s="81">
        <f t="shared" si="8"/>
        <v>0</v>
      </c>
      <c r="AY94" s="81">
        <f t="shared" si="8"/>
        <v>0</v>
      </c>
      <c r="AZ94" s="81">
        <f t="shared" si="8"/>
        <v>0</v>
      </c>
      <c r="BA94" s="81">
        <f t="shared" si="8"/>
        <v>0</v>
      </c>
      <c r="BB94" s="81">
        <f t="shared" si="8"/>
        <v>0</v>
      </c>
      <c r="BC94" s="81">
        <f t="shared" si="8"/>
        <v>0</v>
      </c>
      <c r="BD94" s="81">
        <f t="shared" si="8"/>
        <v>0</v>
      </c>
      <c r="BE94" s="81">
        <f t="shared" si="8"/>
        <v>0</v>
      </c>
      <c r="BF94" s="81">
        <f t="shared" si="8"/>
        <v>0</v>
      </c>
      <c r="BG94" s="81">
        <f t="shared" si="8"/>
        <v>0</v>
      </c>
      <c r="BH94" s="81">
        <f t="shared" si="8"/>
        <v>0</v>
      </c>
      <c r="BI94" s="120"/>
    </row>
    <row r="95" spans="2:61" s="94" customFormat="1" ht="15" hidden="1" customHeight="1" outlineLevel="1" x14ac:dyDescent="0.2">
      <c r="B95" s="604">
        <v>1</v>
      </c>
      <c r="C95" s="605"/>
      <c r="D95" s="605"/>
      <c r="E95" s="605"/>
      <c r="F95" s="605"/>
      <c r="G95" s="605"/>
      <c r="H95" s="605"/>
      <c r="I95" s="605"/>
      <c r="J95" s="605"/>
      <c r="K95" s="605"/>
      <c r="L95" s="605"/>
      <c r="M95" s="606"/>
      <c r="N95" s="113"/>
      <c r="O95" s="90">
        <v>331</v>
      </c>
      <c r="P95" s="90">
        <v>198</v>
      </c>
      <c r="Q95" s="90">
        <v>386</v>
      </c>
      <c r="R95" s="90">
        <v>320</v>
      </c>
      <c r="S95" s="90">
        <v>304</v>
      </c>
      <c r="T95" s="90">
        <v>320</v>
      </c>
      <c r="U95" s="90">
        <v>381</v>
      </c>
      <c r="V95" s="90" t="s">
        <v>131</v>
      </c>
      <c r="W95" s="90">
        <v>404</v>
      </c>
      <c r="X95" s="91" t="s">
        <v>131</v>
      </c>
      <c r="Y95" s="113">
        <v>176</v>
      </c>
      <c r="Z95" s="90">
        <v>485</v>
      </c>
      <c r="AA95" s="90">
        <v>334</v>
      </c>
      <c r="AB95" s="90">
        <v>496</v>
      </c>
      <c r="AC95" s="90"/>
      <c r="AD95" s="90"/>
      <c r="AE95" s="90">
        <v>812</v>
      </c>
      <c r="AF95" s="90"/>
      <c r="AG95" s="90"/>
      <c r="AH95" s="91"/>
      <c r="AI95" s="113"/>
      <c r="AJ95" s="90"/>
      <c r="AK95" s="90"/>
      <c r="AL95" s="90"/>
      <c r="AM95" s="90">
        <v>320</v>
      </c>
      <c r="AN95" s="90"/>
      <c r="AO95" s="90"/>
      <c r="AP95" s="112"/>
      <c r="AQ95" s="113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0"/>
      <c r="BC95" s="90"/>
      <c r="BD95" s="90"/>
      <c r="BE95" s="90"/>
      <c r="BF95" s="90"/>
      <c r="BG95" s="90"/>
      <c r="BH95" s="91"/>
    </row>
    <row r="96" spans="2:61" s="94" customFormat="1" ht="15" hidden="1" customHeight="1" outlineLevel="1" x14ac:dyDescent="0.2">
      <c r="B96" s="593">
        <v>2</v>
      </c>
      <c r="C96" s="594"/>
      <c r="D96" s="594"/>
      <c r="E96" s="594"/>
      <c r="F96" s="594"/>
      <c r="G96" s="594"/>
      <c r="H96" s="594"/>
      <c r="I96" s="594"/>
      <c r="J96" s="594"/>
      <c r="K96" s="594"/>
      <c r="L96" s="594"/>
      <c r="M96" s="595"/>
      <c r="N96" s="95"/>
      <c r="O96" s="93">
        <v>496</v>
      </c>
      <c r="P96" s="93">
        <v>320</v>
      </c>
      <c r="Q96" s="93">
        <v>573</v>
      </c>
      <c r="R96" s="93">
        <v>342</v>
      </c>
      <c r="S96" s="93">
        <v>320</v>
      </c>
      <c r="T96" s="93">
        <v>430</v>
      </c>
      <c r="U96" s="93">
        <v>364</v>
      </c>
      <c r="V96" s="93"/>
      <c r="W96" s="93">
        <v>888</v>
      </c>
      <c r="X96" s="96"/>
      <c r="Y96" s="95">
        <v>974</v>
      </c>
      <c r="Z96" s="93">
        <v>484</v>
      </c>
      <c r="AA96" s="93">
        <v>452</v>
      </c>
      <c r="AB96" s="93">
        <v>397</v>
      </c>
      <c r="AC96" s="93"/>
      <c r="AD96" s="93"/>
      <c r="AE96" s="93">
        <v>1200</v>
      </c>
      <c r="AF96" s="93"/>
      <c r="AG96" s="93"/>
      <c r="AH96" s="96"/>
      <c r="AI96" s="95"/>
      <c r="AJ96" s="93"/>
      <c r="AK96" s="93"/>
      <c r="AL96" s="93"/>
      <c r="AM96" s="93">
        <v>698</v>
      </c>
      <c r="AN96" s="93"/>
      <c r="AO96" s="93"/>
      <c r="AP96" s="98"/>
      <c r="AQ96" s="95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6"/>
    </row>
    <row r="97" spans="2:60" s="94" customFormat="1" ht="15" hidden="1" customHeight="1" outlineLevel="1" x14ac:dyDescent="0.2">
      <c r="B97" s="593">
        <v>3</v>
      </c>
      <c r="C97" s="594"/>
      <c r="D97" s="594"/>
      <c r="E97" s="594"/>
      <c r="F97" s="594"/>
      <c r="G97" s="594"/>
      <c r="H97" s="594"/>
      <c r="I97" s="594"/>
      <c r="J97" s="594"/>
      <c r="K97" s="594"/>
      <c r="L97" s="594"/>
      <c r="M97" s="595"/>
      <c r="N97" s="95"/>
      <c r="O97" s="93">
        <v>419</v>
      </c>
      <c r="P97" s="93">
        <v>677</v>
      </c>
      <c r="Q97" s="93">
        <v>716</v>
      </c>
      <c r="R97" s="93">
        <v>320</v>
      </c>
      <c r="S97" s="93">
        <v>524</v>
      </c>
      <c r="T97" s="93">
        <v>320</v>
      </c>
      <c r="U97" s="93">
        <v>314</v>
      </c>
      <c r="V97" s="93"/>
      <c r="W97" s="93">
        <v>646</v>
      </c>
      <c r="X97" s="96"/>
      <c r="Y97" s="95">
        <v>353</v>
      </c>
      <c r="Z97" s="93">
        <v>518</v>
      </c>
      <c r="AA97" s="93">
        <v>386</v>
      </c>
      <c r="AB97" s="93">
        <v>474</v>
      </c>
      <c r="AC97" s="93"/>
      <c r="AD97" s="93"/>
      <c r="AE97" s="93">
        <v>620</v>
      </c>
      <c r="AF97" s="93"/>
      <c r="AG97" s="93"/>
      <c r="AH97" s="96"/>
      <c r="AI97" s="95"/>
      <c r="AJ97" s="93"/>
      <c r="AK97" s="93"/>
      <c r="AL97" s="93"/>
      <c r="AM97" s="93">
        <v>320</v>
      </c>
      <c r="AN97" s="93"/>
      <c r="AO97" s="93"/>
      <c r="AP97" s="98"/>
      <c r="AQ97" s="95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6"/>
    </row>
    <row r="98" spans="2:60" s="94" customFormat="1" ht="15" hidden="1" customHeight="1" outlineLevel="1" x14ac:dyDescent="0.2">
      <c r="B98" s="593">
        <v>4</v>
      </c>
      <c r="C98" s="594"/>
      <c r="D98" s="594"/>
      <c r="E98" s="594"/>
      <c r="F98" s="594"/>
      <c r="G98" s="594"/>
      <c r="H98" s="594"/>
      <c r="I98" s="594"/>
      <c r="J98" s="594"/>
      <c r="K98" s="594"/>
      <c r="L98" s="594"/>
      <c r="M98" s="595"/>
      <c r="N98" s="95"/>
      <c r="O98" s="93">
        <v>320</v>
      </c>
      <c r="P98" s="93">
        <v>562</v>
      </c>
      <c r="Q98" s="93">
        <v>320</v>
      </c>
      <c r="R98" s="122">
        <f>173+320</f>
        <v>493</v>
      </c>
      <c r="S98" s="93">
        <v>320</v>
      </c>
      <c r="T98" s="93">
        <v>443</v>
      </c>
      <c r="U98" s="93">
        <v>320</v>
      </c>
      <c r="V98" s="93"/>
      <c r="W98" s="93">
        <v>403</v>
      </c>
      <c r="X98" s="96"/>
      <c r="Y98" s="95">
        <v>320</v>
      </c>
      <c r="Z98" s="93">
        <v>320</v>
      </c>
      <c r="AA98" s="93">
        <v>517</v>
      </c>
      <c r="AB98" s="93">
        <v>529</v>
      </c>
      <c r="AC98" s="93"/>
      <c r="AD98" s="93"/>
      <c r="AE98" s="93">
        <v>906</v>
      </c>
      <c r="AF98" s="93"/>
      <c r="AG98" s="93"/>
      <c r="AH98" s="96"/>
      <c r="AI98" s="95"/>
      <c r="AJ98" s="93"/>
      <c r="AK98" s="93"/>
      <c r="AL98" s="93"/>
      <c r="AM98" s="93" t="s">
        <v>131</v>
      </c>
      <c r="AN98" s="93"/>
      <c r="AO98" s="93"/>
      <c r="AP98" s="98"/>
      <c r="AQ98" s="95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6"/>
    </row>
    <row r="99" spans="2:60" s="94" customFormat="1" ht="15" hidden="1" customHeight="1" outlineLevel="1" x14ac:dyDescent="0.2">
      <c r="B99" s="593">
        <v>5</v>
      </c>
      <c r="C99" s="594"/>
      <c r="D99" s="594"/>
      <c r="E99" s="594"/>
      <c r="F99" s="594"/>
      <c r="G99" s="594"/>
      <c r="H99" s="594"/>
      <c r="I99" s="594"/>
      <c r="J99" s="594"/>
      <c r="K99" s="594"/>
      <c r="L99" s="594"/>
      <c r="M99" s="595"/>
      <c r="N99" s="95"/>
      <c r="O99" s="93" t="s">
        <v>131</v>
      </c>
      <c r="P99" s="93">
        <v>441</v>
      </c>
      <c r="Q99" s="93">
        <v>1042</v>
      </c>
      <c r="R99" s="93">
        <v>545</v>
      </c>
      <c r="S99" s="93">
        <v>584</v>
      </c>
      <c r="T99" s="93">
        <v>231</v>
      </c>
      <c r="U99" s="93">
        <v>320</v>
      </c>
      <c r="V99" s="93"/>
      <c r="W99" s="93">
        <v>474</v>
      </c>
      <c r="X99" s="96"/>
      <c r="Y99" s="95">
        <v>402</v>
      </c>
      <c r="Z99" s="93">
        <v>320</v>
      </c>
      <c r="AA99" s="93">
        <v>1051</v>
      </c>
      <c r="AB99" s="93">
        <v>332</v>
      </c>
      <c r="AC99" s="93"/>
      <c r="AD99" s="93"/>
      <c r="AE99" s="93">
        <v>640</v>
      </c>
      <c r="AF99" s="93"/>
      <c r="AG99" s="93"/>
      <c r="AH99" s="96"/>
      <c r="AI99" s="95"/>
      <c r="AJ99" s="93"/>
      <c r="AK99" s="93"/>
      <c r="AL99" s="93"/>
      <c r="AM99" s="93"/>
      <c r="AN99" s="93"/>
      <c r="AO99" s="93"/>
      <c r="AP99" s="98"/>
      <c r="AQ99" s="95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6"/>
    </row>
    <row r="100" spans="2:60" s="94" customFormat="1" ht="15" hidden="1" customHeight="1" outlineLevel="1" x14ac:dyDescent="0.2">
      <c r="B100" s="593">
        <v>6</v>
      </c>
      <c r="C100" s="594"/>
      <c r="D100" s="594"/>
      <c r="E100" s="594"/>
      <c r="F100" s="594"/>
      <c r="G100" s="594"/>
      <c r="H100" s="594"/>
      <c r="I100" s="594"/>
      <c r="J100" s="594"/>
      <c r="K100" s="594"/>
      <c r="L100" s="594"/>
      <c r="M100" s="595"/>
      <c r="N100" s="95"/>
      <c r="O100" s="93"/>
      <c r="P100" s="93">
        <v>320</v>
      </c>
      <c r="Q100" s="93">
        <v>480</v>
      </c>
      <c r="R100" s="93">
        <v>332</v>
      </c>
      <c r="S100" s="93">
        <v>507</v>
      </c>
      <c r="T100" s="93">
        <v>332</v>
      </c>
      <c r="U100" s="93">
        <v>799</v>
      </c>
      <c r="V100" s="93"/>
      <c r="W100" s="93">
        <v>332</v>
      </c>
      <c r="X100" s="96"/>
      <c r="Y100" s="95">
        <v>428</v>
      </c>
      <c r="Z100" s="93">
        <v>374</v>
      </c>
      <c r="AA100" s="93">
        <v>701</v>
      </c>
      <c r="AB100" s="93">
        <v>454</v>
      </c>
      <c r="AC100" s="93"/>
      <c r="AD100" s="93"/>
      <c r="AE100" s="93">
        <v>1250</v>
      </c>
      <c r="AF100" s="93"/>
      <c r="AG100" s="93"/>
      <c r="AH100" s="96"/>
      <c r="AI100" s="95"/>
      <c r="AJ100" s="93"/>
      <c r="AK100" s="93"/>
      <c r="AL100" s="93"/>
      <c r="AM100" s="93"/>
      <c r="AN100" s="93"/>
      <c r="AO100" s="93"/>
      <c r="AP100" s="98"/>
      <c r="AQ100" s="95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6"/>
    </row>
    <row r="101" spans="2:60" s="94" customFormat="1" ht="15" hidden="1" customHeight="1" outlineLevel="1" x14ac:dyDescent="0.2">
      <c r="B101" s="593">
        <v>7</v>
      </c>
      <c r="C101" s="594"/>
      <c r="D101" s="594"/>
      <c r="E101" s="594"/>
      <c r="F101" s="594"/>
      <c r="G101" s="594"/>
      <c r="H101" s="594"/>
      <c r="I101" s="594"/>
      <c r="J101" s="594"/>
      <c r="K101" s="594"/>
      <c r="L101" s="594"/>
      <c r="M101" s="595"/>
      <c r="N101" s="95"/>
      <c r="O101" s="93"/>
      <c r="P101" s="93">
        <v>529</v>
      </c>
      <c r="Q101" s="93">
        <v>930</v>
      </c>
      <c r="R101" s="122">
        <v>350</v>
      </c>
      <c r="S101" s="93">
        <v>397</v>
      </c>
      <c r="T101" s="93">
        <v>1100</v>
      </c>
      <c r="U101" s="93">
        <v>389</v>
      </c>
      <c r="V101" s="93"/>
      <c r="W101" s="93">
        <v>350</v>
      </c>
      <c r="X101" s="96"/>
      <c r="Y101" s="95">
        <v>389</v>
      </c>
      <c r="Z101" s="93">
        <v>220</v>
      </c>
      <c r="AA101" s="93">
        <v>342</v>
      </c>
      <c r="AB101" s="93">
        <v>350</v>
      </c>
      <c r="AC101" s="93"/>
      <c r="AD101" s="93"/>
      <c r="AE101" s="93" t="s">
        <v>131</v>
      </c>
      <c r="AF101" s="93"/>
      <c r="AG101" s="93"/>
      <c r="AH101" s="96"/>
      <c r="AI101" s="95"/>
      <c r="AJ101" s="93"/>
      <c r="AK101" s="93"/>
      <c r="AL101" s="93"/>
      <c r="AM101" s="93"/>
      <c r="AN101" s="93"/>
      <c r="AO101" s="93"/>
      <c r="AP101" s="98"/>
      <c r="AQ101" s="95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6"/>
    </row>
    <row r="102" spans="2:60" s="94" customFormat="1" ht="15" hidden="1" customHeight="1" outlineLevel="1" x14ac:dyDescent="0.2">
      <c r="B102" s="593">
        <v>8</v>
      </c>
      <c r="C102" s="594"/>
      <c r="D102" s="594"/>
      <c r="E102" s="594"/>
      <c r="F102" s="594"/>
      <c r="G102" s="594"/>
      <c r="H102" s="594"/>
      <c r="I102" s="594"/>
      <c r="J102" s="594"/>
      <c r="K102" s="594"/>
      <c r="L102" s="594"/>
      <c r="M102" s="595"/>
      <c r="N102" s="95"/>
      <c r="O102" s="93"/>
      <c r="P102" s="93">
        <v>332</v>
      </c>
      <c r="Q102" s="93">
        <v>402</v>
      </c>
      <c r="R102" s="93">
        <v>467</v>
      </c>
      <c r="S102" s="93">
        <v>870</v>
      </c>
      <c r="T102" s="93">
        <v>867</v>
      </c>
      <c r="U102" s="93">
        <v>467</v>
      </c>
      <c r="V102" s="93"/>
      <c r="W102" s="93">
        <v>464</v>
      </c>
      <c r="X102" s="96"/>
      <c r="Y102" s="95">
        <v>356</v>
      </c>
      <c r="Z102" s="93">
        <v>320</v>
      </c>
      <c r="AA102" s="93">
        <v>625</v>
      </c>
      <c r="AB102" s="122">
        <f>91+350</f>
        <v>441</v>
      </c>
      <c r="AC102" s="93"/>
      <c r="AD102" s="93"/>
      <c r="AE102" s="93"/>
      <c r="AF102" s="93"/>
      <c r="AG102" s="93"/>
      <c r="AH102" s="96"/>
      <c r="AI102" s="95"/>
      <c r="AJ102" s="93"/>
      <c r="AK102" s="93"/>
      <c r="AL102" s="93"/>
      <c r="AM102" s="93"/>
      <c r="AN102" s="93"/>
      <c r="AO102" s="93"/>
      <c r="AP102" s="98"/>
      <c r="AQ102" s="95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6"/>
    </row>
    <row r="103" spans="2:60" s="94" customFormat="1" ht="15" hidden="1" customHeight="1" outlineLevel="1" x14ac:dyDescent="0.2">
      <c r="B103" s="593">
        <v>9</v>
      </c>
      <c r="C103" s="594"/>
      <c r="D103" s="594"/>
      <c r="E103" s="594"/>
      <c r="F103" s="594"/>
      <c r="G103" s="594"/>
      <c r="H103" s="594"/>
      <c r="I103" s="594"/>
      <c r="J103" s="594"/>
      <c r="K103" s="594"/>
      <c r="L103" s="594"/>
      <c r="M103" s="595"/>
      <c r="N103" s="95"/>
      <c r="O103" s="93"/>
      <c r="P103" s="93">
        <v>485</v>
      </c>
      <c r="Q103" s="93">
        <v>584</v>
      </c>
      <c r="R103" s="93">
        <v>1250</v>
      </c>
      <c r="S103" s="93">
        <v>350</v>
      </c>
      <c r="T103" s="93" t="s">
        <v>131</v>
      </c>
      <c r="U103" s="93">
        <v>428</v>
      </c>
      <c r="V103" s="93"/>
      <c r="W103" s="93">
        <v>350</v>
      </c>
      <c r="X103" s="96"/>
      <c r="Y103" s="95">
        <v>610</v>
      </c>
      <c r="Z103" s="93" t="s">
        <v>131</v>
      </c>
      <c r="AA103" s="93">
        <v>480</v>
      </c>
      <c r="AB103" s="93">
        <v>977</v>
      </c>
      <c r="AC103" s="93"/>
      <c r="AD103" s="93"/>
      <c r="AE103" s="93"/>
      <c r="AF103" s="93"/>
      <c r="AG103" s="93"/>
      <c r="AH103" s="96"/>
      <c r="AI103" s="95"/>
      <c r="AJ103" s="93"/>
      <c r="AK103" s="93"/>
      <c r="AL103" s="93"/>
      <c r="AM103" s="93"/>
      <c r="AN103" s="93"/>
      <c r="AO103" s="93"/>
      <c r="AP103" s="98"/>
      <c r="AQ103" s="95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6"/>
    </row>
    <row r="104" spans="2:60" s="94" customFormat="1" ht="15" hidden="1" customHeight="1" outlineLevel="1" x14ac:dyDescent="0.2">
      <c r="B104" s="593">
        <v>10</v>
      </c>
      <c r="C104" s="594"/>
      <c r="D104" s="594"/>
      <c r="E104" s="594"/>
      <c r="F104" s="594"/>
      <c r="G104" s="594"/>
      <c r="H104" s="594"/>
      <c r="I104" s="594"/>
      <c r="J104" s="594"/>
      <c r="K104" s="594"/>
      <c r="L104" s="594"/>
      <c r="M104" s="595"/>
      <c r="N104" s="95"/>
      <c r="O104" s="93"/>
      <c r="P104" s="93">
        <v>350</v>
      </c>
      <c r="Q104" s="93" t="s">
        <v>131</v>
      </c>
      <c r="R104" s="93">
        <v>529</v>
      </c>
      <c r="S104" s="122">
        <v>350</v>
      </c>
      <c r="T104" s="93"/>
      <c r="U104" s="93">
        <v>400</v>
      </c>
      <c r="V104" s="93"/>
      <c r="W104" s="93">
        <v>728</v>
      </c>
      <c r="X104" s="96"/>
      <c r="Y104" s="95">
        <v>530</v>
      </c>
      <c r="Z104" s="93"/>
      <c r="AA104" s="93">
        <v>512</v>
      </c>
      <c r="AB104" s="93">
        <v>558</v>
      </c>
      <c r="AC104" s="93"/>
      <c r="AD104" s="93"/>
      <c r="AE104" s="93"/>
      <c r="AF104" s="93"/>
      <c r="AG104" s="93"/>
      <c r="AH104" s="96"/>
      <c r="AI104" s="95"/>
      <c r="AJ104" s="93"/>
      <c r="AK104" s="93"/>
      <c r="AL104" s="93"/>
      <c r="AM104" s="93"/>
      <c r="AN104" s="93"/>
      <c r="AO104" s="93"/>
      <c r="AP104" s="98"/>
      <c r="AQ104" s="95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6"/>
    </row>
    <row r="105" spans="2:60" s="94" customFormat="1" ht="15" hidden="1" customHeight="1" outlineLevel="1" x14ac:dyDescent="0.2">
      <c r="B105" s="593">
        <v>11</v>
      </c>
      <c r="C105" s="594"/>
      <c r="D105" s="594"/>
      <c r="E105" s="594"/>
      <c r="F105" s="594"/>
      <c r="G105" s="594"/>
      <c r="H105" s="594"/>
      <c r="I105" s="594"/>
      <c r="J105" s="594"/>
      <c r="K105" s="594"/>
      <c r="L105" s="594"/>
      <c r="M105" s="595"/>
      <c r="N105" s="95"/>
      <c r="O105" s="93"/>
      <c r="P105" s="123">
        <v>597</v>
      </c>
      <c r="Q105" s="93"/>
      <c r="R105" s="124">
        <v>320</v>
      </c>
      <c r="S105" s="93">
        <v>350</v>
      </c>
      <c r="T105" s="93"/>
      <c r="U105" s="93">
        <v>1150</v>
      </c>
      <c r="V105" s="93"/>
      <c r="W105" s="93">
        <v>1450</v>
      </c>
      <c r="X105" s="96"/>
      <c r="Y105" s="95">
        <v>324</v>
      </c>
      <c r="Z105" s="93"/>
      <c r="AA105" s="93">
        <f>320+182</f>
        <v>502</v>
      </c>
      <c r="AB105" s="93">
        <v>573</v>
      </c>
      <c r="AC105" s="93"/>
      <c r="AD105" s="93"/>
      <c r="AE105" s="93"/>
      <c r="AF105" s="93"/>
      <c r="AG105" s="93"/>
      <c r="AH105" s="96"/>
      <c r="AI105" s="95"/>
      <c r="AJ105" s="93"/>
      <c r="AK105" s="93"/>
      <c r="AL105" s="93"/>
      <c r="AM105" s="93"/>
      <c r="AN105" s="93"/>
      <c r="AO105" s="93"/>
      <c r="AP105" s="98"/>
      <c r="AQ105" s="95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6"/>
    </row>
    <row r="106" spans="2:60" s="94" customFormat="1" ht="15" hidden="1" customHeight="1" outlineLevel="1" x14ac:dyDescent="0.2">
      <c r="B106" s="593">
        <v>12</v>
      </c>
      <c r="C106" s="594"/>
      <c r="D106" s="594"/>
      <c r="E106" s="594"/>
      <c r="F106" s="594"/>
      <c r="G106" s="594"/>
      <c r="H106" s="594"/>
      <c r="I106" s="594"/>
      <c r="J106" s="594"/>
      <c r="K106" s="594"/>
      <c r="L106" s="594"/>
      <c r="M106" s="595"/>
      <c r="N106" s="95"/>
      <c r="O106" s="93"/>
      <c r="P106" s="93" t="s">
        <v>131</v>
      </c>
      <c r="Q106" s="93"/>
      <c r="R106" s="93" t="s">
        <v>131</v>
      </c>
      <c r="S106" s="93">
        <v>1200</v>
      </c>
      <c r="T106" s="93"/>
      <c r="U106" s="93" t="s">
        <v>131</v>
      </c>
      <c r="V106" s="93"/>
      <c r="W106" s="93" t="s">
        <v>131</v>
      </c>
      <c r="X106" s="96"/>
      <c r="Y106" s="125">
        <v>350</v>
      </c>
      <c r="Z106" s="93"/>
      <c r="AA106" s="93">
        <v>562</v>
      </c>
      <c r="AB106" s="93" t="s">
        <v>131</v>
      </c>
      <c r="AC106" s="93"/>
      <c r="AD106" s="93"/>
      <c r="AE106" s="93"/>
      <c r="AF106" s="93"/>
      <c r="AG106" s="93"/>
      <c r="AH106" s="96"/>
      <c r="AI106" s="95"/>
      <c r="AJ106" s="93"/>
      <c r="AK106" s="93"/>
      <c r="AL106" s="93"/>
      <c r="AM106" s="93"/>
      <c r="AN106" s="93"/>
      <c r="AO106" s="93"/>
      <c r="AP106" s="98"/>
      <c r="AQ106" s="95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6"/>
    </row>
    <row r="107" spans="2:60" s="94" customFormat="1" ht="15" hidden="1" customHeight="1" outlineLevel="1" x14ac:dyDescent="0.2">
      <c r="B107" s="593">
        <v>13</v>
      </c>
      <c r="C107" s="594"/>
      <c r="D107" s="594"/>
      <c r="E107" s="594"/>
      <c r="F107" s="594"/>
      <c r="G107" s="594"/>
      <c r="H107" s="594"/>
      <c r="I107" s="594"/>
      <c r="J107" s="594"/>
      <c r="K107" s="594"/>
      <c r="L107" s="594"/>
      <c r="M107" s="595"/>
      <c r="N107" s="95"/>
      <c r="O107" s="93"/>
      <c r="P107" s="93"/>
      <c r="Q107" s="93"/>
      <c r="R107" s="93"/>
      <c r="S107" s="93" t="s">
        <v>131</v>
      </c>
      <c r="T107" s="93"/>
      <c r="U107" s="93"/>
      <c r="V107" s="93"/>
      <c r="W107" s="93"/>
      <c r="X107" s="96"/>
      <c r="Y107" s="95" t="s">
        <v>131</v>
      </c>
      <c r="Z107" s="93"/>
      <c r="AA107" s="93" t="s">
        <v>131</v>
      </c>
      <c r="AB107" s="93"/>
      <c r="AC107" s="93"/>
      <c r="AD107" s="93"/>
      <c r="AE107" s="93"/>
      <c r="AF107" s="93"/>
      <c r="AG107" s="93"/>
      <c r="AH107" s="96"/>
      <c r="AI107" s="95"/>
      <c r="AJ107" s="93"/>
      <c r="AK107" s="93"/>
      <c r="AL107" s="93"/>
      <c r="AM107" s="93"/>
      <c r="AN107" s="93"/>
      <c r="AO107" s="93"/>
      <c r="AP107" s="98"/>
      <c r="AQ107" s="95"/>
      <c r="AR107" s="93"/>
      <c r="AS107" s="93"/>
      <c r="AT107" s="93"/>
      <c r="AU107" s="93"/>
      <c r="AV107" s="93"/>
      <c r="AW107" s="93"/>
      <c r="AX107" s="93"/>
      <c r="AY107" s="93"/>
      <c r="AZ107" s="93"/>
      <c r="BA107" s="93"/>
      <c r="BB107" s="93"/>
      <c r="BC107" s="93"/>
      <c r="BD107" s="93"/>
      <c r="BE107" s="93"/>
      <c r="BF107" s="93"/>
      <c r="BG107" s="93"/>
      <c r="BH107" s="96"/>
    </row>
    <row r="108" spans="2:60" s="94" customFormat="1" ht="15" hidden="1" customHeight="1" outlineLevel="1" x14ac:dyDescent="0.2">
      <c r="B108" s="593">
        <v>14</v>
      </c>
      <c r="C108" s="594"/>
      <c r="D108" s="594"/>
      <c r="E108" s="594"/>
      <c r="F108" s="594"/>
      <c r="G108" s="594"/>
      <c r="H108" s="594"/>
      <c r="I108" s="594"/>
      <c r="J108" s="594"/>
      <c r="K108" s="594"/>
      <c r="L108" s="594"/>
      <c r="M108" s="595"/>
      <c r="N108" s="95"/>
      <c r="O108" s="93"/>
      <c r="P108" s="93"/>
      <c r="Q108" s="93"/>
      <c r="R108" s="93"/>
      <c r="S108" s="93"/>
      <c r="T108" s="93"/>
      <c r="U108" s="93"/>
      <c r="V108" s="93"/>
      <c r="W108" s="93"/>
      <c r="X108" s="96"/>
      <c r="Y108" s="95"/>
      <c r="Z108" s="93"/>
      <c r="AA108" s="93"/>
      <c r="AB108" s="93"/>
      <c r="AC108" s="93"/>
      <c r="AD108" s="93"/>
      <c r="AE108" s="93"/>
      <c r="AF108" s="93"/>
      <c r="AG108" s="93"/>
      <c r="AH108" s="96"/>
      <c r="AI108" s="95"/>
      <c r="AJ108" s="93"/>
      <c r="AK108" s="93"/>
      <c r="AL108" s="93"/>
      <c r="AM108" s="93"/>
      <c r="AN108" s="93"/>
      <c r="AO108" s="93"/>
      <c r="AP108" s="98"/>
      <c r="AQ108" s="95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6"/>
    </row>
    <row r="109" spans="2:60" s="94" customFormat="1" ht="15" hidden="1" customHeight="1" outlineLevel="1" x14ac:dyDescent="0.2">
      <c r="B109" s="593">
        <v>15</v>
      </c>
      <c r="C109" s="594"/>
      <c r="D109" s="594"/>
      <c r="E109" s="594"/>
      <c r="F109" s="594"/>
      <c r="G109" s="594"/>
      <c r="H109" s="594"/>
      <c r="I109" s="594"/>
      <c r="J109" s="594"/>
      <c r="K109" s="594"/>
      <c r="L109" s="594"/>
      <c r="M109" s="595"/>
      <c r="N109" s="95"/>
      <c r="O109" s="93"/>
      <c r="P109" s="93"/>
      <c r="Q109" s="93"/>
      <c r="R109" s="93"/>
      <c r="S109" s="93"/>
      <c r="T109" s="93"/>
      <c r="U109" s="93"/>
      <c r="V109" s="93"/>
      <c r="W109" s="93"/>
      <c r="X109" s="96"/>
      <c r="Y109" s="95"/>
      <c r="Z109" s="93"/>
      <c r="AA109" s="93"/>
      <c r="AB109" s="93"/>
      <c r="AC109" s="93"/>
      <c r="AD109" s="93"/>
      <c r="AE109" s="93"/>
      <c r="AF109" s="93"/>
      <c r="AG109" s="93"/>
      <c r="AH109" s="96"/>
      <c r="AI109" s="95"/>
      <c r="AJ109" s="93"/>
      <c r="AK109" s="93"/>
      <c r="AL109" s="93"/>
      <c r="AM109" s="93"/>
      <c r="AN109" s="93"/>
      <c r="AO109" s="93"/>
      <c r="AP109" s="98"/>
      <c r="AQ109" s="95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  <c r="BF109" s="93"/>
      <c r="BG109" s="93"/>
      <c r="BH109" s="96"/>
    </row>
    <row r="110" spans="2:60" s="94" customFormat="1" ht="15" hidden="1" customHeight="1" outlineLevel="1" x14ac:dyDescent="0.2">
      <c r="B110" s="593">
        <v>16</v>
      </c>
      <c r="C110" s="594"/>
      <c r="D110" s="594"/>
      <c r="E110" s="594"/>
      <c r="F110" s="594"/>
      <c r="G110" s="594"/>
      <c r="H110" s="594"/>
      <c r="I110" s="594"/>
      <c r="J110" s="594"/>
      <c r="K110" s="594"/>
      <c r="L110" s="594"/>
      <c r="M110" s="595"/>
      <c r="N110" s="95"/>
      <c r="O110" s="93"/>
      <c r="P110" s="93"/>
      <c r="Q110" s="93"/>
      <c r="R110" s="93"/>
      <c r="S110" s="93"/>
      <c r="T110" s="93"/>
      <c r="U110" s="93"/>
      <c r="V110" s="93"/>
      <c r="W110" s="93"/>
      <c r="X110" s="96"/>
      <c r="Y110" s="95"/>
      <c r="Z110" s="93"/>
      <c r="AA110" s="93"/>
      <c r="AB110" s="93"/>
      <c r="AC110" s="93"/>
      <c r="AD110" s="93"/>
      <c r="AE110" s="93"/>
      <c r="AF110" s="93"/>
      <c r="AG110" s="93"/>
      <c r="AH110" s="96"/>
      <c r="AI110" s="95"/>
      <c r="AJ110" s="93"/>
      <c r="AK110" s="93"/>
      <c r="AL110" s="93"/>
      <c r="AM110" s="93"/>
      <c r="AN110" s="93"/>
      <c r="AO110" s="93"/>
      <c r="AP110" s="98"/>
      <c r="AQ110" s="95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6"/>
    </row>
    <row r="111" spans="2:60" s="94" customFormat="1" ht="15" hidden="1" customHeight="1" outlineLevel="1" x14ac:dyDescent="0.2">
      <c r="B111" s="593">
        <v>17</v>
      </c>
      <c r="C111" s="594"/>
      <c r="D111" s="594"/>
      <c r="E111" s="594"/>
      <c r="F111" s="594"/>
      <c r="G111" s="594"/>
      <c r="H111" s="594"/>
      <c r="I111" s="594"/>
      <c r="J111" s="594"/>
      <c r="K111" s="594"/>
      <c r="L111" s="594"/>
      <c r="M111" s="595"/>
      <c r="N111" s="95"/>
      <c r="O111" s="93"/>
      <c r="P111" s="93"/>
      <c r="Q111" s="93"/>
      <c r="R111" s="93"/>
      <c r="S111" s="93"/>
      <c r="T111" s="93"/>
      <c r="U111" s="93"/>
      <c r="V111" s="93"/>
      <c r="W111" s="93"/>
      <c r="X111" s="96"/>
      <c r="Y111" s="95"/>
      <c r="Z111" s="93"/>
      <c r="AA111" s="93"/>
      <c r="AB111" s="93"/>
      <c r="AC111" s="93"/>
      <c r="AD111" s="93"/>
      <c r="AE111" s="93"/>
      <c r="AF111" s="93"/>
      <c r="AG111" s="93"/>
      <c r="AH111" s="96"/>
      <c r="AI111" s="95"/>
      <c r="AJ111" s="93"/>
      <c r="AK111" s="93"/>
      <c r="AL111" s="93"/>
      <c r="AM111" s="93"/>
      <c r="AN111" s="93"/>
      <c r="AO111" s="93"/>
      <c r="AP111" s="98"/>
      <c r="AQ111" s="95"/>
      <c r="AR111" s="93"/>
      <c r="AS111" s="93"/>
      <c r="AT111" s="93"/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6"/>
    </row>
    <row r="112" spans="2:60" s="94" customFormat="1" ht="15" hidden="1" customHeight="1" outlineLevel="1" x14ac:dyDescent="0.2">
      <c r="B112" s="593">
        <v>18</v>
      </c>
      <c r="C112" s="594"/>
      <c r="D112" s="594"/>
      <c r="E112" s="594"/>
      <c r="F112" s="594"/>
      <c r="G112" s="594"/>
      <c r="H112" s="594"/>
      <c r="I112" s="594"/>
      <c r="J112" s="594"/>
      <c r="K112" s="594"/>
      <c r="L112" s="594"/>
      <c r="M112" s="595"/>
      <c r="N112" s="95"/>
      <c r="O112" s="93"/>
      <c r="P112" s="93"/>
      <c r="Q112" s="93"/>
      <c r="R112" s="93"/>
      <c r="S112" s="93"/>
      <c r="T112" s="93"/>
      <c r="U112" s="93"/>
      <c r="V112" s="93"/>
      <c r="W112" s="93"/>
      <c r="X112" s="96"/>
      <c r="Y112" s="95"/>
      <c r="Z112" s="93"/>
      <c r="AA112" s="93"/>
      <c r="AB112" s="93"/>
      <c r="AC112" s="93"/>
      <c r="AD112" s="93"/>
      <c r="AE112" s="93"/>
      <c r="AF112" s="93"/>
      <c r="AG112" s="93"/>
      <c r="AH112" s="96"/>
      <c r="AI112" s="95"/>
      <c r="AJ112" s="93"/>
      <c r="AK112" s="93"/>
      <c r="AL112" s="93"/>
      <c r="AM112" s="93"/>
      <c r="AN112" s="93"/>
      <c r="AO112" s="93"/>
      <c r="AP112" s="98"/>
      <c r="AQ112" s="95"/>
      <c r="AR112" s="93"/>
      <c r="AS112" s="93"/>
      <c r="AT112" s="93"/>
      <c r="AU112" s="93"/>
      <c r="AV112" s="93"/>
      <c r="AW112" s="93"/>
      <c r="AX112" s="93"/>
      <c r="AY112" s="93"/>
      <c r="AZ112" s="93"/>
      <c r="BA112" s="93"/>
      <c r="BB112" s="93"/>
      <c r="BC112" s="93"/>
      <c r="BD112" s="93"/>
      <c r="BE112" s="93"/>
      <c r="BF112" s="93"/>
      <c r="BG112" s="93"/>
      <c r="BH112" s="96"/>
    </row>
    <row r="113" spans="2:61" s="94" customFormat="1" ht="15" hidden="1" customHeight="1" outlineLevel="1" x14ac:dyDescent="0.2">
      <c r="B113" s="593">
        <v>19</v>
      </c>
      <c r="C113" s="594"/>
      <c r="D113" s="594"/>
      <c r="E113" s="594"/>
      <c r="F113" s="594"/>
      <c r="G113" s="594"/>
      <c r="H113" s="594"/>
      <c r="I113" s="594"/>
      <c r="J113" s="594"/>
      <c r="K113" s="594"/>
      <c r="L113" s="594"/>
      <c r="M113" s="595"/>
      <c r="N113" s="95"/>
      <c r="O113" s="93"/>
      <c r="P113" s="93"/>
      <c r="Q113" s="93"/>
      <c r="R113" s="93"/>
      <c r="S113" s="93"/>
      <c r="T113" s="93"/>
      <c r="U113" s="93"/>
      <c r="V113" s="93"/>
      <c r="W113" s="93"/>
      <c r="X113" s="96"/>
      <c r="Y113" s="95"/>
      <c r="Z113" s="93"/>
      <c r="AA113" s="93"/>
      <c r="AB113" s="93"/>
      <c r="AC113" s="93"/>
      <c r="AD113" s="93"/>
      <c r="AE113" s="93"/>
      <c r="AF113" s="93"/>
      <c r="AG113" s="93"/>
      <c r="AH113" s="96"/>
      <c r="AI113" s="95"/>
      <c r="AJ113" s="93"/>
      <c r="AK113" s="93"/>
      <c r="AL113" s="93"/>
      <c r="AM113" s="93"/>
      <c r="AN113" s="93"/>
      <c r="AO113" s="93"/>
      <c r="AP113" s="98"/>
      <c r="AQ113" s="95"/>
      <c r="AR113" s="93"/>
      <c r="AS113" s="93"/>
      <c r="AT113" s="93"/>
      <c r="AU113" s="93"/>
      <c r="AV113" s="93"/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6"/>
    </row>
    <row r="114" spans="2:61" s="94" customFormat="1" ht="15" hidden="1" customHeight="1" outlineLevel="1" x14ac:dyDescent="0.2">
      <c r="B114" s="593">
        <v>20</v>
      </c>
      <c r="C114" s="594"/>
      <c r="D114" s="594"/>
      <c r="E114" s="594"/>
      <c r="F114" s="594"/>
      <c r="G114" s="594"/>
      <c r="H114" s="594"/>
      <c r="I114" s="594"/>
      <c r="J114" s="594"/>
      <c r="K114" s="594"/>
      <c r="L114" s="594"/>
      <c r="M114" s="595"/>
      <c r="N114" s="95"/>
      <c r="O114" s="93"/>
      <c r="P114" s="93"/>
      <c r="Q114" s="93"/>
      <c r="R114" s="93"/>
      <c r="S114" s="93"/>
      <c r="T114" s="93"/>
      <c r="U114" s="93"/>
      <c r="V114" s="93"/>
      <c r="W114" s="93"/>
      <c r="X114" s="96"/>
      <c r="Y114" s="95"/>
      <c r="Z114" s="93"/>
      <c r="AA114" s="93"/>
      <c r="AB114" s="93"/>
      <c r="AC114" s="93"/>
      <c r="AD114" s="93"/>
      <c r="AE114" s="93"/>
      <c r="AF114" s="93"/>
      <c r="AG114" s="93"/>
      <c r="AH114" s="96"/>
      <c r="AI114" s="95"/>
      <c r="AJ114" s="93"/>
      <c r="AK114" s="93"/>
      <c r="AL114" s="93"/>
      <c r="AM114" s="93"/>
      <c r="AN114" s="93"/>
      <c r="AO114" s="93"/>
      <c r="AP114" s="98"/>
      <c r="AQ114" s="95"/>
      <c r="AR114" s="93"/>
      <c r="AS114" s="93"/>
      <c r="AT114" s="93"/>
      <c r="AU114" s="93"/>
      <c r="AV114" s="93"/>
      <c r="AW114" s="93"/>
      <c r="AX114" s="93"/>
      <c r="AY114" s="93"/>
      <c r="AZ114" s="93"/>
      <c r="BA114" s="93"/>
      <c r="BB114" s="93"/>
      <c r="BC114" s="93"/>
      <c r="BD114" s="93"/>
      <c r="BE114" s="93"/>
      <c r="BF114" s="93"/>
      <c r="BG114" s="93"/>
      <c r="BH114" s="96"/>
    </row>
    <row r="115" spans="2:61" s="94" customFormat="1" ht="15" hidden="1" customHeight="1" outlineLevel="1" x14ac:dyDescent="0.2">
      <c r="B115" s="593">
        <v>21</v>
      </c>
      <c r="C115" s="594"/>
      <c r="D115" s="594"/>
      <c r="E115" s="594"/>
      <c r="F115" s="594"/>
      <c r="G115" s="594"/>
      <c r="H115" s="594"/>
      <c r="I115" s="594"/>
      <c r="J115" s="594"/>
      <c r="K115" s="594"/>
      <c r="L115" s="594"/>
      <c r="M115" s="595"/>
      <c r="N115" s="95"/>
      <c r="O115" s="93"/>
      <c r="P115" s="93"/>
      <c r="Q115" s="93"/>
      <c r="R115" s="93"/>
      <c r="S115" s="93"/>
      <c r="T115" s="93"/>
      <c r="U115" s="93"/>
      <c r="V115" s="93"/>
      <c r="W115" s="93"/>
      <c r="X115" s="96"/>
      <c r="Y115" s="95"/>
      <c r="Z115" s="93"/>
      <c r="AA115" s="93"/>
      <c r="AB115" s="93"/>
      <c r="AC115" s="93"/>
      <c r="AD115" s="93"/>
      <c r="AE115" s="93"/>
      <c r="AF115" s="93"/>
      <c r="AG115" s="93"/>
      <c r="AH115" s="96"/>
      <c r="AI115" s="95"/>
      <c r="AJ115" s="93"/>
      <c r="AK115" s="93"/>
      <c r="AL115" s="93"/>
      <c r="AM115" s="93"/>
      <c r="AN115" s="93"/>
      <c r="AO115" s="93"/>
      <c r="AP115" s="98"/>
      <c r="AQ115" s="95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6"/>
    </row>
    <row r="116" spans="2:61" s="94" customFormat="1" ht="15" hidden="1" customHeight="1" outlineLevel="1" x14ac:dyDescent="0.2">
      <c r="B116" s="593">
        <v>22</v>
      </c>
      <c r="C116" s="594"/>
      <c r="D116" s="594"/>
      <c r="E116" s="594"/>
      <c r="F116" s="594"/>
      <c r="G116" s="594"/>
      <c r="H116" s="594"/>
      <c r="I116" s="594"/>
      <c r="J116" s="594"/>
      <c r="K116" s="594"/>
      <c r="L116" s="594"/>
      <c r="M116" s="595"/>
      <c r="N116" s="95"/>
      <c r="O116" s="93"/>
      <c r="P116" s="93"/>
      <c r="Q116" s="93"/>
      <c r="R116" s="93"/>
      <c r="S116" s="93"/>
      <c r="T116" s="93"/>
      <c r="U116" s="93"/>
      <c r="V116" s="93"/>
      <c r="W116" s="93"/>
      <c r="X116" s="96"/>
      <c r="Y116" s="95"/>
      <c r="Z116" s="93"/>
      <c r="AA116" s="93"/>
      <c r="AB116" s="93"/>
      <c r="AC116" s="93"/>
      <c r="AD116" s="93"/>
      <c r="AE116" s="93"/>
      <c r="AF116" s="93"/>
      <c r="AG116" s="93"/>
      <c r="AH116" s="96"/>
      <c r="AI116" s="95"/>
      <c r="AJ116" s="93"/>
      <c r="AK116" s="93"/>
      <c r="AL116" s="93"/>
      <c r="AM116" s="93"/>
      <c r="AN116" s="93"/>
      <c r="AO116" s="93"/>
      <c r="AP116" s="98"/>
      <c r="AQ116" s="95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3"/>
      <c r="BG116" s="93"/>
      <c r="BH116" s="96"/>
    </row>
    <row r="117" spans="2:61" s="94" customFormat="1" ht="15" hidden="1" customHeight="1" outlineLevel="1" x14ac:dyDescent="0.2">
      <c r="B117" s="593">
        <v>23</v>
      </c>
      <c r="C117" s="594"/>
      <c r="D117" s="594"/>
      <c r="E117" s="594"/>
      <c r="F117" s="594"/>
      <c r="G117" s="594"/>
      <c r="H117" s="594"/>
      <c r="I117" s="594"/>
      <c r="J117" s="594"/>
      <c r="K117" s="594"/>
      <c r="L117" s="594"/>
      <c r="M117" s="595"/>
      <c r="N117" s="95"/>
      <c r="O117" s="93"/>
      <c r="P117" s="93"/>
      <c r="Q117" s="93"/>
      <c r="R117" s="93"/>
      <c r="S117" s="93"/>
      <c r="T117" s="93"/>
      <c r="U117" s="93"/>
      <c r="V117" s="93"/>
      <c r="W117" s="93"/>
      <c r="X117" s="96"/>
      <c r="Y117" s="95"/>
      <c r="Z117" s="93"/>
      <c r="AA117" s="93"/>
      <c r="AB117" s="93"/>
      <c r="AC117" s="93"/>
      <c r="AD117" s="93"/>
      <c r="AE117" s="93"/>
      <c r="AF117" s="93"/>
      <c r="AG117" s="93"/>
      <c r="AH117" s="96"/>
      <c r="AI117" s="95"/>
      <c r="AJ117" s="93"/>
      <c r="AK117" s="93"/>
      <c r="AL117" s="93"/>
      <c r="AM117" s="93"/>
      <c r="AN117" s="93"/>
      <c r="AO117" s="93"/>
      <c r="AP117" s="98"/>
      <c r="AQ117" s="95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6"/>
    </row>
    <row r="118" spans="2:61" s="94" customFormat="1" ht="23.25" hidden="1" customHeight="1" outlineLevel="1" x14ac:dyDescent="0.2">
      <c r="B118" s="593">
        <v>24</v>
      </c>
      <c r="C118" s="594"/>
      <c r="D118" s="594"/>
      <c r="E118" s="594"/>
      <c r="F118" s="594"/>
      <c r="G118" s="594"/>
      <c r="H118" s="594"/>
      <c r="I118" s="594"/>
      <c r="J118" s="594"/>
      <c r="K118" s="594"/>
      <c r="L118" s="594"/>
      <c r="M118" s="595"/>
      <c r="N118" s="99"/>
      <c r="O118" s="100"/>
      <c r="P118" s="100"/>
      <c r="Q118" s="100"/>
      <c r="R118" s="100"/>
      <c r="S118" s="100"/>
      <c r="T118" s="100"/>
      <c r="U118" s="100"/>
      <c r="V118" s="100"/>
      <c r="W118" s="100"/>
      <c r="X118" s="101"/>
      <c r="Y118" s="99"/>
      <c r="Z118" s="100"/>
      <c r="AA118" s="100"/>
      <c r="AB118" s="100"/>
      <c r="AC118" s="100"/>
      <c r="AD118" s="100"/>
      <c r="AE118" s="100"/>
      <c r="AF118" s="100"/>
      <c r="AG118" s="100"/>
      <c r="AH118" s="101"/>
      <c r="AI118" s="99"/>
      <c r="AJ118" s="100"/>
      <c r="AK118" s="100"/>
      <c r="AL118" s="100"/>
      <c r="AM118" s="100"/>
      <c r="AN118" s="100"/>
      <c r="AO118" s="100"/>
      <c r="AP118" s="103"/>
      <c r="AQ118" s="99"/>
      <c r="AR118" s="100"/>
      <c r="AS118" s="100"/>
      <c r="AT118" s="100"/>
      <c r="AU118" s="100"/>
      <c r="AV118" s="100"/>
      <c r="AW118" s="100"/>
      <c r="AX118" s="100"/>
      <c r="AY118" s="100"/>
      <c r="AZ118" s="100"/>
      <c r="BA118" s="100"/>
      <c r="BB118" s="100"/>
      <c r="BC118" s="100"/>
      <c r="BD118" s="100"/>
      <c r="BE118" s="100"/>
      <c r="BF118" s="100"/>
      <c r="BG118" s="100"/>
      <c r="BH118" s="101"/>
    </row>
    <row r="119" spans="2:61" s="94" customFormat="1" ht="15" hidden="1" customHeight="1" outlineLevel="1" x14ac:dyDescent="0.2">
      <c r="B119" s="601">
        <v>25</v>
      </c>
      <c r="C119" s="602"/>
      <c r="D119" s="602"/>
      <c r="E119" s="602"/>
      <c r="F119" s="602"/>
      <c r="G119" s="602"/>
      <c r="H119" s="602"/>
      <c r="I119" s="602"/>
      <c r="J119" s="602"/>
      <c r="K119" s="602"/>
      <c r="L119" s="602"/>
      <c r="M119" s="603"/>
      <c r="N119" s="104"/>
      <c r="O119" s="105"/>
      <c r="P119" s="105"/>
      <c r="Q119" s="105"/>
      <c r="R119" s="105"/>
      <c r="S119" s="105"/>
      <c r="T119" s="105"/>
      <c r="U119" s="105"/>
      <c r="V119" s="105"/>
      <c r="W119" s="105"/>
      <c r="X119" s="106"/>
      <c r="Y119" s="104"/>
      <c r="Z119" s="105"/>
      <c r="AA119" s="105"/>
      <c r="AB119" s="105"/>
      <c r="AC119" s="105"/>
      <c r="AD119" s="105"/>
      <c r="AE119" s="105"/>
      <c r="AF119" s="105"/>
      <c r="AG119" s="105"/>
      <c r="AH119" s="106"/>
      <c r="AI119" s="104"/>
      <c r="AJ119" s="105"/>
      <c r="AK119" s="105"/>
      <c r="AL119" s="105"/>
      <c r="AM119" s="105"/>
      <c r="AN119" s="105"/>
      <c r="AO119" s="105"/>
      <c r="AP119" s="108"/>
      <c r="AQ119" s="104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  <c r="BD119" s="105"/>
      <c r="BE119" s="105"/>
      <c r="BF119" s="105"/>
      <c r="BG119" s="105"/>
      <c r="BH119" s="106"/>
    </row>
    <row r="120" spans="2:61" s="116" customFormat="1" ht="3" customHeight="1" thickBot="1" x14ac:dyDescent="0.25">
      <c r="B120" s="114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0">
        <f>+COUNT(N95:N119)</f>
        <v>0</v>
      </c>
      <c r="O120" s="110">
        <f t="shared" ref="O120:BH120" si="9">+COUNT(O95:O119)</f>
        <v>4</v>
      </c>
      <c r="P120" s="110">
        <f t="shared" si="9"/>
        <v>11</v>
      </c>
      <c r="Q120" s="110">
        <f t="shared" si="9"/>
        <v>9</v>
      </c>
      <c r="R120" s="110">
        <f t="shared" si="9"/>
        <v>11</v>
      </c>
      <c r="S120" s="110">
        <f t="shared" si="9"/>
        <v>12</v>
      </c>
      <c r="T120" s="110">
        <f t="shared" si="9"/>
        <v>8</v>
      </c>
      <c r="U120" s="110">
        <f t="shared" si="9"/>
        <v>11</v>
      </c>
      <c r="V120" s="110">
        <f t="shared" si="9"/>
        <v>0</v>
      </c>
      <c r="W120" s="110">
        <f t="shared" si="9"/>
        <v>11</v>
      </c>
      <c r="X120" s="110">
        <f t="shared" si="9"/>
        <v>0</v>
      </c>
      <c r="Y120" s="110">
        <f t="shared" si="9"/>
        <v>12</v>
      </c>
      <c r="Z120" s="110">
        <f t="shared" si="9"/>
        <v>8</v>
      </c>
      <c r="AA120" s="110">
        <f t="shared" si="9"/>
        <v>12</v>
      </c>
      <c r="AB120" s="110">
        <f t="shared" si="9"/>
        <v>11</v>
      </c>
      <c r="AC120" s="110">
        <f t="shared" si="9"/>
        <v>0</v>
      </c>
      <c r="AD120" s="110">
        <f t="shared" si="9"/>
        <v>0</v>
      </c>
      <c r="AE120" s="110">
        <f t="shared" si="9"/>
        <v>6</v>
      </c>
      <c r="AF120" s="110">
        <f t="shared" si="9"/>
        <v>0</v>
      </c>
      <c r="AG120" s="110">
        <f t="shared" si="9"/>
        <v>0</v>
      </c>
      <c r="AH120" s="110">
        <f t="shared" si="9"/>
        <v>0</v>
      </c>
      <c r="AI120" s="110">
        <f t="shared" si="9"/>
        <v>0</v>
      </c>
      <c r="AJ120" s="110">
        <f t="shared" si="9"/>
        <v>0</v>
      </c>
      <c r="AK120" s="110">
        <f t="shared" si="9"/>
        <v>0</v>
      </c>
      <c r="AL120" s="110">
        <f t="shared" si="9"/>
        <v>0</v>
      </c>
      <c r="AM120" s="110">
        <f t="shared" si="9"/>
        <v>3</v>
      </c>
      <c r="AN120" s="110">
        <f t="shared" si="9"/>
        <v>0</v>
      </c>
      <c r="AO120" s="110">
        <f t="shared" si="9"/>
        <v>0</v>
      </c>
      <c r="AP120" s="110">
        <f t="shared" si="9"/>
        <v>0</v>
      </c>
      <c r="AQ120" s="109">
        <f t="shared" si="9"/>
        <v>0</v>
      </c>
      <c r="AR120" s="110">
        <f t="shared" si="9"/>
        <v>0</v>
      </c>
      <c r="AS120" s="110">
        <f t="shared" si="9"/>
        <v>0</v>
      </c>
      <c r="AT120" s="110">
        <f t="shared" si="9"/>
        <v>0</v>
      </c>
      <c r="AU120" s="110">
        <f t="shared" si="9"/>
        <v>0</v>
      </c>
      <c r="AV120" s="110">
        <f t="shared" si="9"/>
        <v>0</v>
      </c>
      <c r="AW120" s="110">
        <f t="shared" si="9"/>
        <v>0</v>
      </c>
      <c r="AX120" s="110">
        <f t="shared" si="9"/>
        <v>0</v>
      </c>
      <c r="AY120" s="110">
        <f t="shared" si="9"/>
        <v>0</v>
      </c>
      <c r="AZ120" s="110">
        <f t="shared" si="9"/>
        <v>0</v>
      </c>
      <c r="BA120" s="110">
        <f t="shared" si="9"/>
        <v>0</v>
      </c>
      <c r="BB120" s="110">
        <f t="shared" si="9"/>
        <v>0</v>
      </c>
      <c r="BC120" s="110">
        <f t="shared" si="9"/>
        <v>0</v>
      </c>
      <c r="BD120" s="110">
        <f t="shared" si="9"/>
        <v>0</v>
      </c>
      <c r="BE120" s="110">
        <f t="shared" si="9"/>
        <v>0</v>
      </c>
      <c r="BF120" s="110">
        <f t="shared" si="9"/>
        <v>0</v>
      </c>
      <c r="BG120" s="110">
        <f t="shared" si="9"/>
        <v>0</v>
      </c>
      <c r="BH120" s="111">
        <f t="shared" si="9"/>
        <v>0</v>
      </c>
    </row>
    <row r="121" spans="2:61" s="121" customFormat="1" ht="15" customHeight="1" collapsed="1" thickBot="1" x14ac:dyDescent="0.3">
      <c r="B121" s="117"/>
      <c r="C121" s="118"/>
      <c r="D121" s="118"/>
      <c r="E121" s="119"/>
      <c r="F121" s="79"/>
      <c r="G121" s="79"/>
      <c r="H121" s="79"/>
      <c r="I121" s="79"/>
      <c r="J121" s="79"/>
      <c r="K121" s="596" t="s">
        <v>138</v>
      </c>
      <c r="L121" s="596"/>
      <c r="M121" s="597"/>
      <c r="N121" s="81">
        <f t="shared" ref="N121:BH121" si="10">SUM(N122:N146)</f>
        <v>3329</v>
      </c>
      <c r="O121" s="81">
        <f t="shared" si="10"/>
        <v>4687</v>
      </c>
      <c r="P121" s="81">
        <f t="shared" si="10"/>
        <v>0</v>
      </c>
      <c r="Q121" s="81">
        <f t="shared" si="10"/>
        <v>830</v>
      </c>
      <c r="R121" s="81">
        <f t="shared" si="10"/>
        <v>3545</v>
      </c>
      <c r="S121" s="81">
        <f t="shared" si="10"/>
        <v>0</v>
      </c>
      <c r="T121" s="81">
        <f t="shared" si="10"/>
        <v>1649</v>
      </c>
      <c r="U121" s="81">
        <f t="shared" si="10"/>
        <v>3395</v>
      </c>
      <c r="V121" s="81">
        <f t="shared" si="10"/>
        <v>3850</v>
      </c>
      <c r="W121" s="81">
        <f t="shared" si="10"/>
        <v>0</v>
      </c>
      <c r="X121" s="81">
        <f t="shared" si="10"/>
        <v>4929</v>
      </c>
      <c r="Y121" s="81">
        <f t="shared" si="10"/>
        <v>0</v>
      </c>
      <c r="Z121" s="81">
        <f t="shared" si="10"/>
        <v>0</v>
      </c>
      <c r="AA121" s="81">
        <f t="shared" si="10"/>
        <v>0</v>
      </c>
      <c r="AB121" s="81">
        <f t="shared" si="10"/>
        <v>3345</v>
      </c>
      <c r="AC121" s="81">
        <f t="shared" si="10"/>
        <v>3615</v>
      </c>
      <c r="AD121" s="81">
        <f t="shared" si="10"/>
        <v>4162</v>
      </c>
      <c r="AE121" s="81">
        <f t="shared" si="10"/>
        <v>1885</v>
      </c>
      <c r="AF121" s="81">
        <f t="shared" si="10"/>
        <v>1690</v>
      </c>
      <c r="AG121" s="81">
        <f t="shared" si="10"/>
        <v>2584</v>
      </c>
      <c r="AH121" s="81">
        <f t="shared" si="10"/>
        <v>10406</v>
      </c>
      <c r="AI121" s="81">
        <f t="shared" si="10"/>
        <v>0</v>
      </c>
      <c r="AJ121" s="81">
        <f t="shared" si="10"/>
        <v>0</v>
      </c>
      <c r="AK121" s="81">
        <f t="shared" si="10"/>
        <v>0</v>
      </c>
      <c r="AL121" s="81">
        <f t="shared" si="10"/>
        <v>0</v>
      </c>
      <c r="AM121" s="81">
        <f t="shared" si="10"/>
        <v>0</v>
      </c>
      <c r="AN121" s="81">
        <f t="shared" si="10"/>
        <v>0</v>
      </c>
      <c r="AO121" s="81">
        <f t="shared" si="10"/>
        <v>0</v>
      </c>
      <c r="AP121" s="81">
        <f t="shared" si="10"/>
        <v>0</v>
      </c>
      <c r="AQ121" s="81">
        <f t="shared" si="10"/>
        <v>2920</v>
      </c>
      <c r="AR121" s="81">
        <f t="shared" si="10"/>
        <v>2618</v>
      </c>
      <c r="AS121" s="81">
        <f t="shared" si="10"/>
        <v>5475</v>
      </c>
      <c r="AT121" s="81">
        <f t="shared" si="10"/>
        <v>3385</v>
      </c>
      <c r="AU121" s="81">
        <f t="shared" si="10"/>
        <v>4479</v>
      </c>
      <c r="AV121" s="81">
        <f t="shared" si="10"/>
        <v>2472</v>
      </c>
      <c r="AW121" s="81">
        <f t="shared" si="10"/>
        <v>3345</v>
      </c>
      <c r="AX121" s="81">
        <f t="shared" si="10"/>
        <v>0</v>
      </c>
      <c r="AY121" s="81">
        <f t="shared" si="10"/>
        <v>0</v>
      </c>
      <c r="AZ121" s="81">
        <f t="shared" si="10"/>
        <v>4245</v>
      </c>
      <c r="BA121" s="81">
        <f t="shared" si="10"/>
        <v>0</v>
      </c>
      <c r="BB121" s="81">
        <f t="shared" si="10"/>
        <v>0</v>
      </c>
      <c r="BC121" s="81">
        <f t="shared" si="10"/>
        <v>2590</v>
      </c>
      <c r="BD121" s="81">
        <f t="shared" si="10"/>
        <v>0</v>
      </c>
      <c r="BE121" s="81">
        <f t="shared" si="10"/>
        <v>4535</v>
      </c>
      <c r="BF121" s="81">
        <f t="shared" si="10"/>
        <v>0</v>
      </c>
      <c r="BG121" s="81">
        <f t="shared" si="10"/>
        <v>4940</v>
      </c>
      <c r="BH121" s="81">
        <f t="shared" si="10"/>
        <v>0</v>
      </c>
      <c r="BI121" s="120"/>
    </row>
    <row r="122" spans="2:61" s="94" customFormat="1" ht="15" hidden="1" customHeight="1" outlineLevel="1" x14ac:dyDescent="0.2">
      <c r="B122" s="604">
        <v>1</v>
      </c>
      <c r="C122" s="605"/>
      <c r="D122" s="605"/>
      <c r="E122" s="605"/>
      <c r="F122" s="605"/>
      <c r="G122" s="605"/>
      <c r="H122" s="605"/>
      <c r="I122" s="605"/>
      <c r="J122" s="605"/>
      <c r="K122" s="605"/>
      <c r="L122" s="605"/>
      <c r="M122" s="606"/>
      <c r="N122" s="86">
        <v>370</v>
      </c>
      <c r="O122" s="90">
        <v>505</v>
      </c>
      <c r="P122" s="90"/>
      <c r="Q122" s="90">
        <v>400</v>
      </c>
      <c r="R122" s="90">
        <v>715</v>
      </c>
      <c r="S122" s="90"/>
      <c r="T122" s="90">
        <v>250</v>
      </c>
      <c r="U122" s="90">
        <v>400</v>
      </c>
      <c r="V122" s="90">
        <v>310</v>
      </c>
      <c r="W122" s="90"/>
      <c r="X122" s="91">
        <v>355</v>
      </c>
      <c r="Y122" s="113"/>
      <c r="Z122" s="90"/>
      <c r="AA122" s="90"/>
      <c r="AB122" s="90">
        <v>775</v>
      </c>
      <c r="AC122" s="90">
        <v>400</v>
      </c>
      <c r="AD122" s="90">
        <v>400</v>
      </c>
      <c r="AE122" s="90">
        <v>430</v>
      </c>
      <c r="AF122" s="90">
        <v>820</v>
      </c>
      <c r="AG122" s="90">
        <v>884</v>
      </c>
      <c r="AH122" s="91">
        <v>775</v>
      </c>
      <c r="AI122" s="113"/>
      <c r="AJ122" s="90"/>
      <c r="AK122" s="90"/>
      <c r="AL122" s="90"/>
      <c r="AM122" s="90"/>
      <c r="AN122" s="90"/>
      <c r="AO122" s="90"/>
      <c r="AP122" s="112"/>
      <c r="AQ122" s="113">
        <v>1885</v>
      </c>
      <c r="AR122" s="90">
        <v>400</v>
      </c>
      <c r="AS122" s="90">
        <v>385</v>
      </c>
      <c r="AT122" s="90">
        <v>550</v>
      </c>
      <c r="AU122" s="90">
        <v>265</v>
      </c>
      <c r="AV122" s="90">
        <v>250</v>
      </c>
      <c r="AW122" s="90">
        <v>535</v>
      </c>
      <c r="AX122" s="90"/>
      <c r="AY122" s="90"/>
      <c r="AZ122" s="90">
        <v>400</v>
      </c>
      <c r="BA122" s="90"/>
      <c r="BB122" s="90"/>
      <c r="BC122" s="90">
        <v>250</v>
      </c>
      <c r="BD122" s="90"/>
      <c r="BE122" s="90">
        <v>400</v>
      </c>
      <c r="BF122" s="90"/>
      <c r="BG122" s="90">
        <v>400</v>
      </c>
      <c r="BH122" s="91"/>
    </row>
    <row r="123" spans="2:61" s="94" customFormat="1" ht="15" hidden="1" customHeight="1" outlineLevel="1" x14ac:dyDescent="0.2">
      <c r="B123" s="593">
        <v>2</v>
      </c>
      <c r="C123" s="594"/>
      <c r="D123" s="594"/>
      <c r="E123" s="594"/>
      <c r="F123" s="594"/>
      <c r="G123" s="594"/>
      <c r="H123" s="594"/>
      <c r="I123" s="594"/>
      <c r="J123" s="594"/>
      <c r="K123" s="594"/>
      <c r="L123" s="594"/>
      <c r="M123" s="595"/>
      <c r="N123" s="95">
        <v>269</v>
      </c>
      <c r="O123" s="93">
        <v>400</v>
      </c>
      <c r="P123" s="93"/>
      <c r="Q123" s="93">
        <v>430</v>
      </c>
      <c r="R123" s="93">
        <v>820</v>
      </c>
      <c r="S123" s="93"/>
      <c r="T123" s="93">
        <v>370</v>
      </c>
      <c r="U123" s="93">
        <v>430</v>
      </c>
      <c r="V123" s="93">
        <v>250</v>
      </c>
      <c r="W123" s="93"/>
      <c r="X123" s="96">
        <v>610</v>
      </c>
      <c r="Y123" s="95"/>
      <c r="Z123" s="93"/>
      <c r="AA123" s="93"/>
      <c r="AB123" s="93">
        <v>445</v>
      </c>
      <c r="AC123" s="93">
        <v>400</v>
      </c>
      <c r="AD123" s="93">
        <v>400</v>
      </c>
      <c r="AE123" s="93">
        <v>400</v>
      </c>
      <c r="AF123" s="93">
        <v>545</v>
      </c>
      <c r="AG123" s="93">
        <v>250</v>
      </c>
      <c r="AH123" s="96">
        <v>250</v>
      </c>
      <c r="AI123" s="95"/>
      <c r="AJ123" s="93"/>
      <c r="AK123" s="93"/>
      <c r="AL123" s="93"/>
      <c r="AM123" s="93"/>
      <c r="AN123" s="93"/>
      <c r="AO123" s="93"/>
      <c r="AP123" s="98"/>
      <c r="AQ123" s="95">
        <v>490</v>
      </c>
      <c r="AR123" s="93">
        <v>400</v>
      </c>
      <c r="AS123" s="93">
        <v>820</v>
      </c>
      <c r="AT123" s="93">
        <v>400</v>
      </c>
      <c r="AU123" s="93">
        <v>415</v>
      </c>
      <c r="AV123" s="93">
        <v>1172</v>
      </c>
      <c r="AW123" s="93">
        <v>250</v>
      </c>
      <c r="AX123" s="93"/>
      <c r="AY123" s="93"/>
      <c r="AZ123" s="93">
        <v>400</v>
      </c>
      <c r="BA123" s="93"/>
      <c r="BB123" s="93"/>
      <c r="BC123" s="93">
        <v>490</v>
      </c>
      <c r="BD123" s="93"/>
      <c r="BE123" s="93">
        <v>430</v>
      </c>
      <c r="BF123" s="93"/>
      <c r="BG123" s="93">
        <v>595</v>
      </c>
      <c r="BH123" s="96"/>
    </row>
    <row r="124" spans="2:61" s="94" customFormat="1" ht="15" hidden="1" customHeight="1" outlineLevel="1" x14ac:dyDescent="0.2">
      <c r="B124" s="593">
        <v>3</v>
      </c>
      <c r="C124" s="594"/>
      <c r="D124" s="594"/>
      <c r="E124" s="594"/>
      <c r="F124" s="594"/>
      <c r="G124" s="594"/>
      <c r="H124" s="594"/>
      <c r="I124" s="594"/>
      <c r="J124" s="594"/>
      <c r="K124" s="594"/>
      <c r="L124" s="594"/>
      <c r="M124" s="595"/>
      <c r="N124" s="95">
        <v>400</v>
      </c>
      <c r="O124" s="93">
        <v>415</v>
      </c>
      <c r="P124" s="93"/>
      <c r="Q124" s="93" t="s">
        <v>131</v>
      </c>
      <c r="R124" s="93">
        <v>460</v>
      </c>
      <c r="S124" s="93"/>
      <c r="T124" s="93">
        <v>424</v>
      </c>
      <c r="U124" s="93">
        <v>400</v>
      </c>
      <c r="V124" s="93">
        <v>310</v>
      </c>
      <c r="W124" s="93"/>
      <c r="X124" s="96">
        <v>610</v>
      </c>
      <c r="Y124" s="95"/>
      <c r="Z124" s="93"/>
      <c r="AA124" s="93"/>
      <c r="AB124" s="93">
        <v>430</v>
      </c>
      <c r="AC124" s="93">
        <v>895</v>
      </c>
      <c r="AD124" s="93">
        <v>400</v>
      </c>
      <c r="AE124" s="93">
        <v>400</v>
      </c>
      <c r="AF124" s="93">
        <v>325</v>
      </c>
      <c r="AG124" s="93">
        <v>250</v>
      </c>
      <c r="AH124" s="96">
        <v>250</v>
      </c>
      <c r="AI124" s="95"/>
      <c r="AJ124" s="93"/>
      <c r="AK124" s="93"/>
      <c r="AL124" s="93"/>
      <c r="AM124" s="93"/>
      <c r="AN124" s="93"/>
      <c r="AO124" s="93"/>
      <c r="AP124" s="98"/>
      <c r="AQ124" s="95">
        <v>250</v>
      </c>
      <c r="AR124" s="93">
        <v>188</v>
      </c>
      <c r="AS124" s="93">
        <v>385</v>
      </c>
      <c r="AT124" s="93">
        <v>505</v>
      </c>
      <c r="AU124" s="93">
        <v>415</v>
      </c>
      <c r="AV124" s="93">
        <v>355</v>
      </c>
      <c r="AW124" s="93">
        <v>265</v>
      </c>
      <c r="AX124" s="93"/>
      <c r="AY124" s="93"/>
      <c r="AZ124" s="93">
        <v>400</v>
      </c>
      <c r="BA124" s="93"/>
      <c r="BB124" s="93"/>
      <c r="BC124" s="93">
        <v>445</v>
      </c>
      <c r="BD124" s="93"/>
      <c r="BE124" s="93">
        <v>400</v>
      </c>
      <c r="BF124" s="93"/>
      <c r="BG124" s="93">
        <v>400</v>
      </c>
      <c r="BH124" s="96"/>
    </row>
    <row r="125" spans="2:61" s="94" customFormat="1" ht="15" hidden="1" customHeight="1" outlineLevel="1" x14ac:dyDescent="0.2">
      <c r="B125" s="593">
        <v>4</v>
      </c>
      <c r="C125" s="594"/>
      <c r="D125" s="594"/>
      <c r="E125" s="594"/>
      <c r="F125" s="594"/>
      <c r="G125" s="594"/>
      <c r="H125" s="594"/>
      <c r="I125" s="594"/>
      <c r="J125" s="594"/>
      <c r="K125" s="594"/>
      <c r="L125" s="594"/>
      <c r="M125" s="595"/>
      <c r="N125" s="95">
        <v>250</v>
      </c>
      <c r="O125" s="93">
        <v>400</v>
      </c>
      <c r="P125" s="93"/>
      <c r="Q125" s="93"/>
      <c r="R125" s="93">
        <v>640</v>
      </c>
      <c r="S125" s="93"/>
      <c r="T125" s="93">
        <v>250</v>
      </c>
      <c r="U125" s="93">
        <v>400</v>
      </c>
      <c r="V125" s="93">
        <v>475</v>
      </c>
      <c r="W125" s="93"/>
      <c r="X125" s="96">
        <v>370</v>
      </c>
      <c r="Y125" s="95"/>
      <c r="Z125" s="93"/>
      <c r="AA125" s="93"/>
      <c r="AB125" s="93">
        <v>895</v>
      </c>
      <c r="AC125" s="93">
        <v>400</v>
      </c>
      <c r="AD125" s="93">
        <v>400</v>
      </c>
      <c r="AE125" s="93">
        <v>655</v>
      </c>
      <c r="AF125" s="93" t="s">
        <v>131</v>
      </c>
      <c r="AG125" s="93">
        <v>250</v>
      </c>
      <c r="AH125" s="96">
        <v>323</v>
      </c>
      <c r="AI125" s="95"/>
      <c r="AJ125" s="93"/>
      <c r="AK125" s="93"/>
      <c r="AL125" s="93"/>
      <c r="AM125" s="93"/>
      <c r="AN125" s="93"/>
      <c r="AO125" s="93"/>
      <c r="AP125" s="98"/>
      <c r="AQ125" s="95">
        <v>295</v>
      </c>
      <c r="AR125" s="93">
        <v>400</v>
      </c>
      <c r="AS125" s="93">
        <v>430</v>
      </c>
      <c r="AT125" s="93">
        <v>490</v>
      </c>
      <c r="AU125" s="93">
        <v>430</v>
      </c>
      <c r="AV125" s="93">
        <v>265</v>
      </c>
      <c r="AW125" s="93">
        <v>700</v>
      </c>
      <c r="AX125" s="93"/>
      <c r="AY125" s="93"/>
      <c r="AZ125" s="93">
        <v>565</v>
      </c>
      <c r="BA125" s="93"/>
      <c r="BB125" s="93"/>
      <c r="BC125" s="93">
        <v>250</v>
      </c>
      <c r="BD125" s="93"/>
      <c r="BE125" s="93">
        <v>505</v>
      </c>
      <c r="BF125" s="93"/>
      <c r="BG125" s="93">
        <v>400</v>
      </c>
      <c r="BH125" s="96"/>
    </row>
    <row r="126" spans="2:61" s="94" customFormat="1" ht="15" hidden="1" customHeight="1" outlineLevel="1" x14ac:dyDescent="0.2">
      <c r="B126" s="593">
        <v>5</v>
      </c>
      <c r="C126" s="594"/>
      <c r="D126" s="594"/>
      <c r="E126" s="594"/>
      <c r="F126" s="594"/>
      <c r="G126" s="594"/>
      <c r="H126" s="594"/>
      <c r="I126" s="594"/>
      <c r="J126" s="594"/>
      <c r="K126" s="594"/>
      <c r="L126" s="594"/>
      <c r="M126" s="595"/>
      <c r="N126" s="95">
        <v>280</v>
      </c>
      <c r="O126" s="93">
        <v>438</v>
      </c>
      <c r="P126" s="93"/>
      <c r="Q126" s="93"/>
      <c r="R126" s="93">
        <v>910</v>
      </c>
      <c r="S126" s="93"/>
      <c r="T126" s="93">
        <v>355</v>
      </c>
      <c r="U126" s="93">
        <v>460</v>
      </c>
      <c r="V126" s="93">
        <v>355</v>
      </c>
      <c r="W126" s="93"/>
      <c r="X126" s="96">
        <v>974</v>
      </c>
      <c r="Y126" s="95"/>
      <c r="Z126" s="93"/>
      <c r="AA126" s="93"/>
      <c r="AB126" s="93">
        <v>400</v>
      </c>
      <c r="AC126" s="93">
        <v>820</v>
      </c>
      <c r="AD126" s="93">
        <v>910</v>
      </c>
      <c r="AE126" s="93" t="s">
        <v>131</v>
      </c>
      <c r="AF126" s="93"/>
      <c r="AG126" s="93">
        <v>625</v>
      </c>
      <c r="AH126" s="96">
        <v>550</v>
      </c>
      <c r="AI126" s="95"/>
      <c r="AJ126" s="93"/>
      <c r="AK126" s="93"/>
      <c r="AL126" s="93"/>
      <c r="AM126" s="93"/>
      <c r="AN126" s="93"/>
      <c r="AO126" s="93"/>
      <c r="AP126" s="98"/>
      <c r="AQ126" s="95" t="s">
        <v>131</v>
      </c>
      <c r="AR126" s="93">
        <v>430</v>
      </c>
      <c r="AS126" s="93">
        <v>670</v>
      </c>
      <c r="AT126" s="93">
        <v>475</v>
      </c>
      <c r="AU126" s="93">
        <v>445</v>
      </c>
      <c r="AV126" s="93">
        <v>430</v>
      </c>
      <c r="AW126" s="93">
        <v>250</v>
      </c>
      <c r="AX126" s="93"/>
      <c r="AY126" s="93"/>
      <c r="AZ126" s="93">
        <v>400</v>
      </c>
      <c r="BA126" s="93"/>
      <c r="BB126" s="93"/>
      <c r="BC126" s="93">
        <v>310</v>
      </c>
      <c r="BD126" s="93"/>
      <c r="BE126" s="93">
        <v>400</v>
      </c>
      <c r="BF126" s="93"/>
      <c r="BG126" s="93">
        <v>460</v>
      </c>
      <c r="BH126" s="96"/>
    </row>
    <row r="127" spans="2:61" s="94" customFormat="1" ht="15" hidden="1" customHeight="1" outlineLevel="1" x14ac:dyDescent="0.2">
      <c r="B127" s="593">
        <v>6</v>
      </c>
      <c r="C127" s="594"/>
      <c r="D127" s="594"/>
      <c r="E127" s="594"/>
      <c r="F127" s="594"/>
      <c r="G127" s="594"/>
      <c r="H127" s="594"/>
      <c r="I127" s="594"/>
      <c r="J127" s="594"/>
      <c r="K127" s="594"/>
      <c r="L127" s="594"/>
      <c r="M127" s="595"/>
      <c r="N127" s="95">
        <v>250</v>
      </c>
      <c r="O127" s="93">
        <v>430</v>
      </c>
      <c r="P127" s="93"/>
      <c r="Q127" s="93"/>
      <c r="R127" s="93" t="s">
        <v>131</v>
      </c>
      <c r="S127" s="93"/>
      <c r="T127" s="93" t="s">
        <v>131</v>
      </c>
      <c r="U127" s="93">
        <v>430</v>
      </c>
      <c r="V127" s="93">
        <v>460</v>
      </c>
      <c r="W127" s="93"/>
      <c r="X127" s="96">
        <v>250</v>
      </c>
      <c r="Y127" s="95"/>
      <c r="Z127" s="93"/>
      <c r="AA127" s="93"/>
      <c r="AB127" s="93">
        <v>400</v>
      </c>
      <c r="AC127" s="93">
        <v>700</v>
      </c>
      <c r="AD127" s="93">
        <v>400</v>
      </c>
      <c r="AE127" s="93"/>
      <c r="AF127" s="93"/>
      <c r="AG127" s="93">
        <v>325</v>
      </c>
      <c r="AH127" s="96">
        <v>745</v>
      </c>
      <c r="AI127" s="95"/>
      <c r="AJ127" s="93"/>
      <c r="AK127" s="93"/>
      <c r="AL127" s="93"/>
      <c r="AM127" s="93"/>
      <c r="AN127" s="93"/>
      <c r="AO127" s="93"/>
      <c r="AP127" s="98"/>
      <c r="AQ127" s="95"/>
      <c r="AR127" s="93">
        <v>400</v>
      </c>
      <c r="AS127" s="93">
        <v>610</v>
      </c>
      <c r="AT127" s="93">
        <v>550</v>
      </c>
      <c r="AU127" s="93">
        <v>310</v>
      </c>
      <c r="AV127" s="93" t="s">
        <v>131</v>
      </c>
      <c r="AW127" s="93">
        <v>265</v>
      </c>
      <c r="AX127" s="93"/>
      <c r="AY127" s="93"/>
      <c r="AZ127" s="93">
        <v>565</v>
      </c>
      <c r="BA127" s="93"/>
      <c r="BB127" s="93"/>
      <c r="BC127" s="93">
        <v>430</v>
      </c>
      <c r="BD127" s="93"/>
      <c r="BE127" s="93">
        <v>400</v>
      </c>
      <c r="BF127" s="93"/>
      <c r="BG127" s="93">
        <v>400</v>
      </c>
      <c r="BH127" s="96"/>
    </row>
    <row r="128" spans="2:61" s="94" customFormat="1" ht="15" hidden="1" customHeight="1" outlineLevel="1" x14ac:dyDescent="0.2">
      <c r="B128" s="593">
        <v>7</v>
      </c>
      <c r="C128" s="594"/>
      <c r="D128" s="594"/>
      <c r="E128" s="594"/>
      <c r="F128" s="594"/>
      <c r="G128" s="594"/>
      <c r="H128" s="594"/>
      <c r="I128" s="594"/>
      <c r="J128" s="594"/>
      <c r="K128" s="594"/>
      <c r="L128" s="594"/>
      <c r="M128" s="595"/>
      <c r="N128" s="95">
        <v>1510</v>
      </c>
      <c r="O128" s="93">
        <v>400</v>
      </c>
      <c r="P128" s="93"/>
      <c r="Q128" s="93"/>
      <c r="R128" s="93"/>
      <c r="S128" s="93"/>
      <c r="T128" s="93"/>
      <c r="U128" s="93">
        <v>475</v>
      </c>
      <c r="V128" s="93">
        <v>565</v>
      </c>
      <c r="W128" s="93"/>
      <c r="X128" s="96">
        <v>460</v>
      </c>
      <c r="Y128" s="95"/>
      <c r="Z128" s="93"/>
      <c r="AA128" s="93"/>
      <c r="AB128" s="93" t="s">
        <v>131</v>
      </c>
      <c r="AC128" s="93" t="s">
        <v>131</v>
      </c>
      <c r="AD128" s="93">
        <v>400</v>
      </c>
      <c r="AE128" s="93"/>
      <c r="AF128" s="93"/>
      <c r="AG128" s="93" t="s">
        <v>132</v>
      </c>
      <c r="AH128" s="96">
        <v>1300</v>
      </c>
      <c r="AI128" s="95"/>
      <c r="AJ128" s="93"/>
      <c r="AK128" s="93"/>
      <c r="AL128" s="93"/>
      <c r="AM128" s="93"/>
      <c r="AN128" s="93"/>
      <c r="AO128" s="93"/>
      <c r="AP128" s="98"/>
      <c r="AQ128" s="95"/>
      <c r="AR128" s="93">
        <v>400</v>
      </c>
      <c r="AS128" s="93">
        <v>460</v>
      </c>
      <c r="AT128" s="93">
        <v>415</v>
      </c>
      <c r="AU128" s="93">
        <v>340</v>
      </c>
      <c r="AV128" s="93"/>
      <c r="AW128" s="93">
        <v>250</v>
      </c>
      <c r="AX128" s="93"/>
      <c r="AY128" s="93"/>
      <c r="AZ128" s="93">
        <v>400</v>
      </c>
      <c r="BA128" s="93"/>
      <c r="BB128" s="93"/>
      <c r="BC128" s="93">
        <v>415</v>
      </c>
      <c r="BD128" s="93"/>
      <c r="BE128" s="93">
        <v>475</v>
      </c>
      <c r="BF128" s="93"/>
      <c r="BG128" s="93">
        <v>400</v>
      </c>
      <c r="BH128" s="96"/>
    </row>
    <row r="129" spans="2:60" s="94" customFormat="1" ht="15" hidden="1" customHeight="1" outlineLevel="1" x14ac:dyDescent="0.2">
      <c r="B129" s="593">
        <v>8</v>
      </c>
      <c r="C129" s="594"/>
      <c r="D129" s="594"/>
      <c r="E129" s="594"/>
      <c r="F129" s="594"/>
      <c r="G129" s="594"/>
      <c r="H129" s="594"/>
      <c r="I129" s="594"/>
      <c r="J129" s="594"/>
      <c r="K129" s="594"/>
      <c r="L129" s="594"/>
      <c r="M129" s="595"/>
      <c r="N129" s="95" t="s">
        <v>131</v>
      </c>
      <c r="O129" s="93">
        <v>400</v>
      </c>
      <c r="P129" s="93"/>
      <c r="Q129" s="93"/>
      <c r="R129" s="93"/>
      <c r="S129" s="93"/>
      <c r="T129" s="93"/>
      <c r="U129" s="93">
        <v>400</v>
      </c>
      <c r="V129" s="93">
        <v>325</v>
      </c>
      <c r="W129" s="93"/>
      <c r="X129" s="96">
        <v>410</v>
      </c>
      <c r="Y129" s="95"/>
      <c r="Z129" s="93"/>
      <c r="AA129" s="93"/>
      <c r="AB129" s="93"/>
      <c r="AC129" s="93"/>
      <c r="AD129" s="93">
        <v>400</v>
      </c>
      <c r="AE129" s="93"/>
      <c r="AF129" s="93"/>
      <c r="AG129" s="93"/>
      <c r="AH129" s="96">
        <v>999</v>
      </c>
      <c r="AI129" s="95"/>
      <c r="AJ129" s="93"/>
      <c r="AK129" s="93"/>
      <c r="AL129" s="93"/>
      <c r="AM129" s="93"/>
      <c r="AN129" s="93"/>
      <c r="AO129" s="93"/>
      <c r="AP129" s="98"/>
      <c r="AQ129" s="95"/>
      <c r="AR129" s="93" t="s">
        <v>131</v>
      </c>
      <c r="AS129" s="93">
        <v>800</v>
      </c>
      <c r="AT129" s="93" t="s">
        <v>131</v>
      </c>
      <c r="AU129" s="93">
        <v>370</v>
      </c>
      <c r="AV129" s="93"/>
      <c r="AW129" s="93">
        <v>250</v>
      </c>
      <c r="AX129" s="93"/>
      <c r="AY129" s="93"/>
      <c r="AZ129" s="93">
        <v>400</v>
      </c>
      <c r="BA129" s="93"/>
      <c r="BB129" s="93"/>
      <c r="BC129" s="93" t="s">
        <v>131</v>
      </c>
      <c r="BD129" s="93"/>
      <c r="BE129" s="93">
        <v>400</v>
      </c>
      <c r="BF129" s="93"/>
      <c r="BG129" s="93">
        <v>400</v>
      </c>
      <c r="BH129" s="96"/>
    </row>
    <row r="130" spans="2:60" s="94" customFormat="1" ht="15" hidden="1" customHeight="1" outlineLevel="1" x14ac:dyDescent="0.2">
      <c r="B130" s="593">
        <v>9</v>
      </c>
      <c r="C130" s="594"/>
      <c r="D130" s="594"/>
      <c r="E130" s="594"/>
      <c r="F130" s="594"/>
      <c r="G130" s="594"/>
      <c r="H130" s="594"/>
      <c r="I130" s="594"/>
      <c r="J130" s="594"/>
      <c r="K130" s="594"/>
      <c r="L130" s="594"/>
      <c r="M130" s="595"/>
      <c r="N130" s="95"/>
      <c r="O130" s="93">
        <v>899</v>
      </c>
      <c r="P130" s="93"/>
      <c r="Q130" s="93"/>
      <c r="R130" s="93"/>
      <c r="S130" s="93"/>
      <c r="T130" s="93"/>
      <c r="U130" s="93" t="s">
        <v>131</v>
      </c>
      <c r="V130" s="93">
        <v>370</v>
      </c>
      <c r="W130" s="93"/>
      <c r="X130" s="96">
        <v>400</v>
      </c>
      <c r="Y130" s="95"/>
      <c r="Z130" s="93"/>
      <c r="AA130" s="93"/>
      <c r="AB130" s="93"/>
      <c r="AC130" s="93"/>
      <c r="AD130" s="93">
        <v>452</v>
      </c>
      <c r="AE130" s="93"/>
      <c r="AF130" s="93"/>
      <c r="AG130" s="93"/>
      <c r="AH130" s="96">
        <v>505</v>
      </c>
      <c r="AI130" s="95"/>
      <c r="AJ130" s="93"/>
      <c r="AK130" s="93"/>
      <c r="AL130" s="93"/>
      <c r="AM130" s="93"/>
      <c r="AN130" s="93"/>
      <c r="AO130" s="93"/>
      <c r="AP130" s="98"/>
      <c r="AQ130" s="95"/>
      <c r="AR130" s="93"/>
      <c r="AS130" s="93">
        <v>250</v>
      </c>
      <c r="AT130" s="93"/>
      <c r="AU130" s="93">
        <v>490</v>
      </c>
      <c r="AV130" s="93"/>
      <c r="AW130" s="93">
        <v>580</v>
      </c>
      <c r="AX130" s="93"/>
      <c r="AY130" s="93"/>
      <c r="AZ130" s="93">
        <v>715</v>
      </c>
      <c r="BA130" s="93"/>
      <c r="BB130" s="93"/>
      <c r="BC130" s="93"/>
      <c r="BD130" s="93"/>
      <c r="BE130" s="93">
        <v>565</v>
      </c>
      <c r="BF130" s="93"/>
      <c r="BG130" s="93">
        <v>610</v>
      </c>
      <c r="BH130" s="96"/>
    </row>
    <row r="131" spans="2:60" s="94" customFormat="1" ht="15" hidden="1" customHeight="1" outlineLevel="1" x14ac:dyDescent="0.2">
      <c r="B131" s="593">
        <v>10</v>
      </c>
      <c r="C131" s="594"/>
      <c r="D131" s="594"/>
      <c r="E131" s="594"/>
      <c r="F131" s="594"/>
      <c r="G131" s="594"/>
      <c r="H131" s="594"/>
      <c r="I131" s="594"/>
      <c r="J131" s="594"/>
      <c r="K131" s="594"/>
      <c r="L131" s="594"/>
      <c r="M131" s="595"/>
      <c r="N131" s="95"/>
      <c r="O131" s="93">
        <v>400</v>
      </c>
      <c r="P131" s="93"/>
      <c r="Q131" s="93"/>
      <c r="R131" s="93"/>
      <c r="S131" s="93"/>
      <c r="T131" s="93"/>
      <c r="U131" s="93"/>
      <c r="V131" s="93">
        <v>430</v>
      </c>
      <c r="W131" s="93"/>
      <c r="X131" s="96">
        <v>490</v>
      </c>
      <c r="Y131" s="95"/>
      <c r="Z131" s="93"/>
      <c r="AA131" s="93"/>
      <c r="AB131" s="93"/>
      <c r="AC131" s="93"/>
      <c r="AD131" s="93" t="s">
        <v>131</v>
      </c>
      <c r="AE131" s="93"/>
      <c r="AF131" s="93"/>
      <c r="AG131" s="93"/>
      <c r="AH131" s="96">
        <v>490</v>
      </c>
      <c r="AI131" s="95"/>
      <c r="AJ131" s="93"/>
      <c r="AK131" s="93"/>
      <c r="AL131" s="93"/>
      <c r="AM131" s="93"/>
      <c r="AN131" s="93"/>
      <c r="AO131" s="93"/>
      <c r="AP131" s="98"/>
      <c r="AQ131" s="95"/>
      <c r="AR131" s="93"/>
      <c r="AS131" s="93">
        <v>340</v>
      </c>
      <c r="AT131" s="93"/>
      <c r="AU131" s="93">
        <v>999</v>
      </c>
      <c r="AV131" s="93"/>
      <c r="AW131" s="93" t="s">
        <v>131</v>
      </c>
      <c r="AX131" s="93"/>
      <c r="AY131" s="93"/>
      <c r="AZ131" s="93" t="s">
        <v>131</v>
      </c>
      <c r="BA131" s="93"/>
      <c r="BB131" s="93"/>
      <c r="BC131" s="93"/>
      <c r="BD131" s="93"/>
      <c r="BE131" s="93">
        <v>560</v>
      </c>
      <c r="BF131" s="93"/>
      <c r="BG131" s="93">
        <v>460</v>
      </c>
      <c r="BH131" s="96"/>
    </row>
    <row r="132" spans="2:60" s="94" customFormat="1" ht="15" hidden="1" customHeight="1" outlineLevel="1" x14ac:dyDescent="0.2">
      <c r="B132" s="593">
        <v>11</v>
      </c>
      <c r="C132" s="594"/>
      <c r="D132" s="594"/>
      <c r="E132" s="594"/>
      <c r="F132" s="594"/>
      <c r="G132" s="594"/>
      <c r="H132" s="594"/>
      <c r="I132" s="594"/>
      <c r="J132" s="594"/>
      <c r="K132" s="594"/>
      <c r="L132" s="594"/>
      <c r="M132" s="595"/>
      <c r="N132" s="95"/>
      <c r="O132" s="93" t="s">
        <v>131</v>
      </c>
      <c r="P132" s="93"/>
      <c r="Q132" s="93"/>
      <c r="R132" s="93"/>
      <c r="S132" s="93"/>
      <c r="T132" s="93"/>
      <c r="U132" s="93"/>
      <c r="V132" s="93" t="s">
        <v>131</v>
      </c>
      <c r="W132" s="93"/>
      <c r="X132" s="96" t="s">
        <v>131</v>
      </c>
      <c r="Y132" s="95"/>
      <c r="Z132" s="93"/>
      <c r="AA132" s="93"/>
      <c r="AB132" s="93"/>
      <c r="AC132" s="93"/>
      <c r="AD132" s="93"/>
      <c r="AE132" s="93"/>
      <c r="AF132" s="93"/>
      <c r="AG132" s="93"/>
      <c r="AH132" s="96">
        <v>325</v>
      </c>
      <c r="AI132" s="95"/>
      <c r="AJ132" s="93"/>
      <c r="AK132" s="93"/>
      <c r="AL132" s="93"/>
      <c r="AM132" s="93"/>
      <c r="AN132" s="93"/>
      <c r="AO132" s="93"/>
      <c r="AP132" s="98"/>
      <c r="AQ132" s="95"/>
      <c r="AR132" s="93"/>
      <c r="AS132" s="93">
        <v>325</v>
      </c>
      <c r="AT132" s="93"/>
      <c r="AU132" s="93" t="s">
        <v>131</v>
      </c>
      <c r="AV132" s="93"/>
      <c r="AW132" s="93"/>
      <c r="AX132" s="93"/>
      <c r="AY132" s="93"/>
      <c r="AZ132" s="93"/>
      <c r="BA132" s="93"/>
      <c r="BB132" s="93"/>
      <c r="BC132" s="93"/>
      <c r="BD132" s="93"/>
      <c r="BE132" s="93" t="s">
        <v>131</v>
      </c>
      <c r="BF132" s="93"/>
      <c r="BG132" s="93">
        <v>415</v>
      </c>
      <c r="BH132" s="96"/>
    </row>
    <row r="133" spans="2:60" s="94" customFormat="1" ht="15" hidden="1" customHeight="1" outlineLevel="1" x14ac:dyDescent="0.2">
      <c r="B133" s="593">
        <v>12</v>
      </c>
      <c r="C133" s="594"/>
      <c r="D133" s="594"/>
      <c r="E133" s="594"/>
      <c r="F133" s="594"/>
      <c r="G133" s="594"/>
      <c r="H133" s="594"/>
      <c r="I133" s="594"/>
      <c r="J133" s="594"/>
      <c r="K133" s="594"/>
      <c r="L133" s="594"/>
      <c r="M133" s="595"/>
      <c r="N133" s="95"/>
      <c r="O133" s="93"/>
      <c r="P133" s="93"/>
      <c r="Q133" s="93"/>
      <c r="R133" s="93"/>
      <c r="S133" s="93"/>
      <c r="T133" s="93"/>
      <c r="U133" s="93"/>
      <c r="V133" s="93"/>
      <c r="W133" s="93"/>
      <c r="X133" s="96"/>
      <c r="Y133" s="95"/>
      <c r="Z133" s="93"/>
      <c r="AA133" s="93"/>
      <c r="AB133" s="93"/>
      <c r="AC133" s="93"/>
      <c r="AD133" s="93"/>
      <c r="AE133" s="93"/>
      <c r="AF133" s="93"/>
      <c r="AG133" s="93"/>
      <c r="AH133" s="96">
        <v>1730</v>
      </c>
      <c r="AI133" s="95"/>
      <c r="AJ133" s="93"/>
      <c r="AK133" s="93"/>
      <c r="AL133" s="93"/>
      <c r="AM133" s="93"/>
      <c r="AN133" s="93"/>
      <c r="AO133" s="93"/>
      <c r="AP133" s="98"/>
      <c r="AQ133" s="95"/>
      <c r="AR133" s="93"/>
      <c r="AS133" s="93" t="s">
        <v>131</v>
      </c>
      <c r="AT133" s="93"/>
      <c r="AU133" s="93"/>
      <c r="AV133" s="93"/>
      <c r="AW133" s="93"/>
      <c r="AX133" s="93"/>
      <c r="AY133" s="93"/>
      <c r="AZ133" s="93"/>
      <c r="BA133" s="93"/>
      <c r="BB133" s="93"/>
      <c r="BC133" s="93"/>
      <c r="BD133" s="93"/>
      <c r="BE133" s="93"/>
      <c r="BF133" s="93"/>
      <c r="BG133" s="93" t="s">
        <v>131</v>
      </c>
      <c r="BH133" s="96"/>
    </row>
    <row r="134" spans="2:60" s="94" customFormat="1" ht="15" hidden="1" customHeight="1" outlineLevel="1" x14ac:dyDescent="0.2">
      <c r="B134" s="593">
        <v>13</v>
      </c>
      <c r="C134" s="594"/>
      <c r="D134" s="594"/>
      <c r="E134" s="594"/>
      <c r="F134" s="594"/>
      <c r="G134" s="594"/>
      <c r="H134" s="594"/>
      <c r="I134" s="594"/>
      <c r="J134" s="594"/>
      <c r="K134" s="594"/>
      <c r="L134" s="594"/>
      <c r="M134" s="595"/>
      <c r="N134" s="95"/>
      <c r="O134" s="93"/>
      <c r="P134" s="93"/>
      <c r="Q134" s="93"/>
      <c r="R134" s="93"/>
      <c r="S134" s="93"/>
      <c r="T134" s="93"/>
      <c r="U134" s="93"/>
      <c r="V134" s="93"/>
      <c r="W134" s="93"/>
      <c r="X134" s="96"/>
      <c r="Y134" s="95"/>
      <c r="Z134" s="93"/>
      <c r="AA134" s="93"/>
      <c r="AB134" s="93"/>
      <c r="AC134" s="93"/>
      <c r="AD134" s="93"/>
      <c r="AE134" s="93"/>
      <c r="AF134" s="93"/>
      <c r="AG134" s="93"/>
      <c r="AH134" s="96">
        <v>1165</v>
      </c>
      <c r="AI134" s="95"/>
      <c r="AJ134" s="93"/>
      <c r="AK134" s="93"/>
      <c r="AL134" s="93"/>
      <c r="AM134" s="93"/>
      <c r="AN134" s="93"/>
      <c r="AO134" s="93"/>
      <c r="AP134" s="98"/>
      <c r="AQ134" s="95"/>
      <c r="AR134" s="93"/>
      <c r="AS134" s="93"/>
      <c r="AT134" s="93"/>
      <c r="AU134" s="93"/>
      <c r="AV134" s="93"/>
      <c r="AW134" s="93"/>
      <c r="AX134" s="93"/>
      <c r="AY134" s="93"/>
      <c r="AZ134" s="93"/>
      <c r="BA134" s="93"/>
      <c r="BB134" s="93"/>
      <c r="BC134" s="93"/>
      <c r="BD134" s="93"/>
      <c r="BE134" s="93"/>
      <c r="BF134" s="93"/>
      <c r="BG134" s="93"/>
      <c r="BH134" s="96"/>
    </row>
    <row r="135" spans="2:60" s="94" customFormat="1" ht="15" hidden="1" customHeight="1" outlineLevel="1" x14ac:dyDescent="0.2">
      <c r="B135" s="593">
        <v>14</v>
      </c>
      <c r="C135" s="594"/>
      <c r="D135" s="594"/>
      <c r="E135" s="594"/>
      <c r="F135" s="594"/>
      <c r="G135" s="594"/>
      <c r="H135" s="594"/>
      <c r="I135" s="594"/>
      <c r="J135" s="594"/>
      <c r="K135" s="594"/>
      <c r="L135" s="594"/>
      <c r="M135" s="595"/>
      <c r="N135" s="95"/>
      <c r="O135" s="93"/>
      <c r="P135" s="93"/>
      <c r="Q135" s="93"/>
      <c r="R135" s="93"/>
      <c r="S135" s="93"/>
      <c r="T135" s="93"/>
      <c r="U135" s="93"/>
      <c r="V135" s="93"/>
      <c r="W135" s="93"/>
      <c r="X135" s="96"/>
      <c r="Y135" s="95"/>
      <c r="Z135" s="93"/>
      <c r="AA135" s="93"/>
      <c r="AB135" s="93"/>
      <c r="AC135" s="93"/>
      <c r="AD135" s="93"/>
      <c r="AE135" s="93"/>
      <c r="AF135" s="93"/>
      <c r="AG135" s="93"/>
      <c r="AH135" s="96">
        <v>999</v>
      </c>
      <c r="AI135" s="95"/>
      <c r="AJ135" s="93"/>
      <c r="AK135" s="93"/>
      <c r="AL135" s="93"/>
      <c r="AM135" s="93"/>
      <c r="AN135" s="93"/>
      <c r="AO135" s="93"/>
      <c r="AP135" s="98"/>
      <c r="AQ135" s="95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6"/>
    </row>
    <row r="136" spans="2:60" s="94" customFormat="1" ht="15" hidden="1" customHeight="1" outlineLevel="1" x14ac:dyDescent="0.2">
      <c r="B136" s="593">
        <v>15</v>
      </c>
      <c r="C136" s="594"/>
      <c r="D136" s="594"/>
      <c r="E136" s="594"/>
      <c r="F136" s="594"/>
      <c r="G136" s="594"/>
      <c r="H136" s="594"/>
      <c r="I136" s="594"/>
      <c r="J136" s="594"/>
      <c r="K136" s="594"/>
      <c r="L136" s="594"/>
      <c r="M136" s="595"/>
      <c r="N136" s="95"/>
      <c r="O136" s="93"/>
      <c r="P136" s="93"/>
      <c r="Q136" s="93"/>
      <c r="R136" s="93"/>
      <c r="S136" s="93"/>
      <c r="T136" s="93"/>
      <c r="U136" s="93"/>
      <c r="V136" s="93"/>
      <c r="W136" s="93"/>
      <c r="X136" s="96"/>
      <c r="Y136" s="95"/>
      <c r="Z136" s="93"/>
      <c r="AA136" s="93"/>
      <c r="AB136" s="93"/>
      <c r="AC136" s="93"/>
      <c r="AD136" s="93"/>
      <c r="AE136" s="93"/>
      <c r="AF136" s="93"/>
      <c r="AG136" s="93"/>
      <c r="AH136" s="96" t="s">
        <v>131</v>
      </c>
      <c r="AI136" s="95"/>
      <c r="AJ136" s="93"/>
      <c r="AK136" s="93"/>
      <c r="AL136" s="93"/>
      <c r="AM136" s="93"/>
      <c r="AN136" s="93"/>
      <c r="AO136" s="93"/>
      <c r="AP136" s="98"/>
      <c r="AQ136" s="95"/>
      <c r="AR136" s="93"/>
      <c r="AS136" s="93"/>
      <c r="AT136" s="93"/>
      <c r="AU136" s="93"/>
      <c r="AV136" s="93"/>
      <c r="AW136" s="93"/>
      <c r="AX136" s="93"/>
      <c r="AY136" s="93"/>
      <c r="AZ136" s="93"/>
      <c r="BA136" s="93"/>
      <c r="BB136" s="93"/>
      <c r="BC136" s="93"/>
      <c r="BD136" s="93"/>
      <c r="BE136" s="93"/>
      <c r="BF136" s="93"/>
      <c r="BG136" s="93"/>
      <c r="BH136" s="96"/>
    </row>
    <row r="137" spans="2:60" s="94" customFormat="1" ht="15" hidden="1" customHeight="1" outlineLevel="1" x14ac:dyDescent="0.2">
      <c r="B137" s="593">
        <v>16</v>
      </c>
      <c r="C137" s="594"/>
      <c r="D137" s="594"/>
      <c r="E137" s="594"/>
      <c r="F137" s="594"/>
      <c r="G137" s="594"/>
      <c r="H137" s="594"/>
      <c r="I137" s="594"/>
      <c r="J137" s="594"/>
      <c r="K137" s="594"/>
      <c r="L137" s="594"/>
      <c r="M137" s="595"/>
      <c r="N137" s="95"/>
      <c r="O137" s="93"/>
      <c r="P137" s="93"/>
      <c r="Q137" s="93"/>
      <c r="R137" s="93"/>
      <c r="S137" s="93"/>
      <c r="T137" s="93"/>
      <c r="U137" s="93"/>
      <c r="V137" s="93"/>
      <c r="W137" s="93"/>
      <c r="X137" s="96"/>
      <c r="Y137" s="95"/>
      <c r="Z137" s="93"/>
      <c r="AA137" s="93"/>
      <c r="AB137" s="93"/>
      <c r="AC137" s="93"/>
      <c r="AD137" s="93"/>
      <c r="AE137" s="93"/>
      <c r="AF137" s="93"/>
      <c r="AG137" s="93"/>
      <c r="AH137" s="96"/>
      <c r="AI137" s="95"/>
      <c r="AJ137" s="93"/>
      <c r="AK137" s="93"/>
      <c r="AL137" s="93"/>
      <c r="AM137" s="93"/>
      <c r="AN137" s="93"/>
      <c r="AO137" s="93"/>
      <c r="AP137" s="98"/>
      <c r="AQ137" s="95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6"/>
    </row>
    <row r="138" spans="2:60" s="94" customFormat="1" ht="15" hidden="1" customHeight="1" outlineLevel="1" x14ac:dyDescent="0.2">
      <c r="B138" s="593">
        <v>17</v>
      </c>
      <c r="C138" s="594"/>
      <c r="D138" s="594"/>
      <c r="E138" s="594"/>
      <c r="F138" s="594"/>
      <c r="G138" s="594"/>
      <c r="H138" s="594"/>
      <c r="I138" s="594"/>
      <c r="J138" s="594"/>
      <c r="K138" s="594"/>
      <c r="L138" s="594"/>
      <c r="M138" s="595"/>
      <c r="N138" s="95"/>
      <c r="O138" s="93"/>
      <c r="P138" s="93"/>
      <c r="Q138" s="93"/>
      <c r="R138" s="93"/>
      <c r="S138" s="93"/>
      <c r="T138" s="93"/>
      <c r="U138" s="93"/>
      <c r="V138" s="93"/>
      <c r="W138" s="93"/>
      <c r="X138" s="96"/>
      <c r="Y138" s="95"/>
      <c r="Z138" s="93"/>
      <c r="AA138" s="93"/>
      <c r="AB138" s="93"/>
      <c r="AC138" s="93"/>
      <c r="AD138" s="93"/>
      <c r="AE138" s="93"/>
      <c r="AF138" s="93"/>
      <c r="AG138" s="93"/>
      <c r="AH138" s="96"/>
      <c r="AI138" s="95"/>
      <c r="AJ138" s="93"/>
      <c r="AK138" s="93"/>
      <c r="AL138" s="93"/>
      <c r="AM138" s="93"/>
      <c r="AN138" s="93"/>
      <c r="AO138" s="93"/>
      <c r="AP138" s="98"/>
      <c r="AQ138" s="95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6"/>
    </row>
    <row r="139" spans="2:60" s="94" customFormat="1" ht="15" hidden="1" customHeight="1" outlineLevel="1" x14ac:dyDescent="0.2">
      <c r="B139" s="593">
        <v>18</v>
      </c>
      <c r="C139" s="594"/>
      <c r="D139" s="594"/>
      <c r="E139" s="594"/>
      <c r="F139" s="594"/>
      <c r="G139" s="594"/>
      <c r="H139" s="594"/>
      <c r="I139" s="594"/>
      <c r="J139" s="594"/>
      <c r="K139" s="594"/>
      <c r="L139" s="594"/>
      <c r="M139" s="595"/>
      <c r="N139" s="95"/>
      <c r="O139" s="93"/>
      <c r="P139" s="93"/>
      <c r="Q139" s="93"/>
      <c r="R139" s="93"/>
      <c r="S139" s="93"/>
      <c r="T139" s="93"/>
      <c r="U139" s="93"/>
      <c r="V139" s="93"/>
      <c r="W139" s="93"/>
      <c r="X139" s="96"/>
      <c r="Y139" s="95"/>
      <c r="Z139" s="93"/>
      <c r="AA139" s="93"/>
      <c r="AB139" s="93"/>
      <c r="AC139" s="93"/>
      <c r="AD139" s="93"/>
      <c r="AE139" s="93"/>
      <c r="AF139" s="93"/>
      <c r="AG139" s="93"/>
      <c r="AH139" s="96"/>
      <c r="AI139" s="95"/>
      <c r="AJ139" s="93"/>
      <c r="AK139" s="93"/>
      <c r="AL139" s="93"/>
      <c r="AM139" s="93"/>
      <c r="AN139" s="93"/>
      <c r="AO139" s="93"/>
      <c r="AP139" s="98"/>
      <c r="AQ139" s="95"/>
      <c r="AR139" s="93"/>
      <c r="AS139" s="93"/>
      <c r="AT139" s="93"/>
      <c r="AU139" s="93"/>
      <c r="AV139" s="93"/>
      <c r="AW139" s="93"/>
      <c r="AX139" s="93"/>
      <c r="AY139" s="93"/>
      <c r="AZ139" s="93"/>
      <c r="BA139" s="93"/>
      <c r="BB139" s="93"/>
      <c r="BC139" s="93"/>
      <c r="BD139" s="93"/>
      <c r="BE139" s="93"/>
      <c r="BF139" s="93"/>
      <c r="BG139" s="93"/>
      <c r="BH139" s="96"/>
    </row>
    <row r="140" spans="2:60" s="94" customFormat="1" ht="15" hidden="1" customHeight="1" outlineLevel="1" x14ac:dyDescent="0.2">
      <c r="B140" s="593">
        <v>19</v>
      </c>
      <c r="C140" s="594"/>
      <c r="D140" s="594"/>
      <c r="E140" s="594"/>
      <c r="F140" s="594"/>
      <c r="G140" s="594"/>
      <c r="H140" s="594"/>
      <c r="I140" s="594"/>
      <c r="J140" s="594"/>
      <c r="K140" s="594"/>
      <c r="L140" s="594"/>
      <c r="M140" s="595"/>
      <c r="N140" s="95"/>
      <c r="O140" s="93"/>
      <c r="P140" s="93"/>
      <c r="Q140" s="93"/>
      <c r="R140" s="93"/>
      <c r="S140" s="100"/>
      <c r="T140" s="93"/>
      <c r="U140" s="93"/>
      <c r="V140" s="93"/>
      <c r="W140" s="93"/>
      <c r="X140" s="96"/>
      <c r="Y140" s="95"/>
      <c r="Z140" s="93"/>
      <c r="AA140" s="93"/>
      <c r="AB140" s="93"/>
      <c r="AC140" s="93"/>
      <c r="AD140" s="93"/>
      <c r="AE140" s="93"/>
      <c r="AF140" s="93"/>
      <c r="AG140" s="93"/>
      <c r="AH140" s="96"/>
      <c r="AI140" s="95"/>
      <c r="AJ140" s="93"/>
      <c r="AK140" s="93"/>
      <c r="AL140" s="93"/>
      <c r="AM140" s="93"/>
      <c r="AN140" s="93"/>
      <c r="AO140" s="93"/>
      <c r="AP140" s="98"/>
      <c r="AQ140" s="95"/>
      <c r="AR140" s="93"/>
      <c r="AS140" s="93"/>
      <c r="AT140" s="93"/>
      <c r="AU140" s="93"/>
      <c r="AV140" s="93"/>
      <c r="AW140" s="93"/>
      <c r="AX140" s="93"/>
      <c r="AY140" s="93"/>
      <c r="AZ140" s="93"/>
      <c r="BA140" s="93"/>
      <c r="BB140" s="93"/>
      <c r="BC140" s="93"/>
      <c r="BD140" s="93"/>
      <c r="BE140" s="93"/>
      <c r="BF140" s="93"/>
      <c r="BG140" s="93"/>
      <c r="BH140" s="96"/>
    </row>
    <row r="141" spans="2:60" s="94" customFormat="1" ht="15" hidden="1" customHeight="1" outlineLevel="1" x14ac:dyDescent="0.2">
      <c r="B141" s="593">
        <v>20</v>
      </c>
      <c r="C141" s="594"/>
      <c r="D141" s="594"/>
      <c r="E141" s="594"/>
      <c r="F141" s="594"/>
      <c r="G141" s="594"/>
      <c r="H141" s="594"/>
      <c r="I141" s="594"/>
      <c r="J141" s="594"/>
      <c r="K141" s="594"/>
      <c r="L141" s="594"/>
      <c r="M141" s="595"/>
      <c r="N141" s="99"/>
      <c r="O141" s="100"/>
      <c r="P141" s="100"/>
      <c r="Q141" s="100"/>
      <c r="R141" s="100"/>
      <c r="S141" s="100"/>
      <c r="T141" s="100"/>
      <c r="U141" s="100"/>
      <c r="V141" s="100"/>
      <c r="W141" s="100"/>
      <c r="X141" s="101"/>
      <c r="Y141" s="99"/>
      <c r="Z141" s="100"/>
      <c r="AA141" s="100"/>
      <c r="AB141" s="100"/>
      <c r="AC141" s="100"/>
      <c r="AD141" s="100"/>
      <c r="AE141" s="100"/>
      <c r="AF141" s="100"/>
      <c r="AG141" s="100"/>
      <c r="AH141" s="101"/>
      <c r="AI141" s="99"/>
      <c r="AJ141" s="100"/>
      <c r="AK141" s="100"/>
      <c r="AL141" s="100"/>
      <c r="AM141" s="100"/>
      <c r="AN141" s="100"/>
      <c r="AO141" s="100"/>
      <c r="AP141" s="103"/>
      <c r="AQ141" s="99"/>
      <c r="AR141" s="100"/>
      <c r="AS141" s="100"/>
      <c r="AT141" s="100"/>
      <c r="AU141" s="100"/>
      <c r="AV141" s="100"/>
      <c r="AW141" s="100"/>
      <c r="AX141" s="100"/>
      <c r="AY141" s="100"/>
      <c r="AZ141" s="100"/>
      <c r="BA141" s="100"/>
      <c r="BB141" s="100"/>
      <c r="BC141" s="100"/>
      <c r="BD141" s="100"/>
      <c r="BE141" s="100"/>
      <c r="BF141" s="100"/>
      <c r="BG141" s="100"/>
      <c r="BH141" s="101"/>
    </row>
    <row r="142" spans="2:60" s="94" customFormat="1" ht="15" hidden="1" customHeight="1" outlineLevel="1" x14ac:dyDescent="0.2">
      <c r="B142" s="593">
        <v>21</v>
      </c>
      <c r="C142" s="594"/>
      <c r="D142" s="594"/>
      <c r="E142" s="594"/>
      <c r="F142" s="594"/>
      <c r="G142" s="594"/>
      <c r="H142" s="594"/>
      <c r="I142" s="594"/>
      <c r="J142" s="594"/>
      <c r="K142" s="594"/>
      <c r="L142" s="594"/>
      <c r="M142" s="595"/>
      <c r="N142" s="99"/>
      <c r="O142" s="100"/>
      <c r="P142" s="100"/>
      <c r="Q142" s="100"/>
      <c r="R142" s="100"/>
      <c r="S142" s="100"/>
      <c r="T142" s="100"/>
      <c r="U142" s="100"/>
      <c r="V142" s="100"/>
      <c r="W142" s="100"/>
      <c r="X142" s="101"/>
      <c r="Y142" s="99"/>
      <c r="Z142" s="100"/>
      <c r="AA142" s="100"/>
      <c r="AB142" s="100"/>
      <c r="AC142" s="100"/>
      <c r="AD142" s="100"/>
      <c r="AE142" s="100"/>
      <c r="AF142" s="100"/>
      <c r="AG142" s="100"/>
      <c r="AH142" s="101"/>
      <c r="AI142" s="99"/>
      <c r="AJ142" s="100"/>
      <c r="AK142" s="100"/>
      <c r="AL142" s="100"/>
      <c r="AM142" s="100"/>
      <c r="AN142" s="100"/>
      <c r="AO142" s="100"/>
      <c r="AP142" s="103"/>
      <c r="AQ142" s="99"/>
      <c r="AR142" s="100"/>
      <c r="AS142" s="100"/>
      <c r="AT142" s="100"/>
      <c r="AU142" s="100"/>
      <c r="AV142" s="100"/>
      <c r="AW142" s="100"/>
      <c r="AX142" s="100"/>
      <c r="AY142" s="100"/>
      <c r="AZ142" s="100"/>
      <c r="BA142" s="100"/>
      <c r="BB142" s="100"/>
      <c r="BC142" s="100"/>
      <c r="BD142" s="100"/>
      <c r="BE142" s="100"/>
      <c r="BF142" s="100"/>
      <c r="BG142" s="100"/>
      <c r="BH142" s="101"/>
    </row>
    <row r="143" spans="2:60" s="94" customFormat="1" ht="15" hidden="1" customHeight="1" outlineLevel="1" x14ac:dyDescent="0.2">
      <c r="B143" s="593">
        <v>22</v>
      </c>
      <c r="C143" s="594"/>
      <c r="D143" s="594"/>
      <c r="E143" s="594"/>
      <c r="F143" s="594"/>
      <c r="G143" s="594"/>
      <c r="H143" s="594"/>
      <c r="I143" s="594"/>
      <c r="J143" s="594"/>
      <c r="K143" s="594"/>
      <c r="L143" s="594"/>
      <c r="M143" s="595"/>
      <c r="N143" s="99"/>
      <c r="O143" s="100"/>
      <c r="P143" s="100"/>
      <c r="Q143" s="100"/>
      <c r="R143" s="100"/>
      <c r="S143" s="100"/>
      <c r="T143" s="100"/>
      <c r="U143" s="100"/>
      <c r="V143" s="100"/>
      <c r="W143" s="100"/>
      <c r="X143" s="101"/>
      <c r="Y143" s="99"/>
      <c r="Z143" s="100"/>
      <c r="AA143" s="100"/>
      <c r="AB143" s="100"/>
      <c r="AC143" s="100"/>
      <c r="AD143" s="100"/>
      <c r="AE143" s="100"/>
      <c r="AF143" s="100"/>
      <c r="AG143" s="100"/>
      <c r="AH143" s="101"/>
      <c r="AI143" s="99"/>
      <c r="AJ143" s="100"/>
      <c r="AK143" s="100"/>
      <c r="AL143" s="100"/>
      <c r="AM143" s="100"/>
      <c r="AN143" s="100"/>
      <c r="AO143" s="100"/>
      <c r="AP143" s="103"/>
      <c r="AQ143" s="99"/>
      <c r="AR143" s="100"/>
      <c r="AS143" s="100"/>
      <c r="AT143" s="100"/>
      <c r="AU143" s="100"/>
      <c r="AV143" s="100"/>
      <c r="AW143" s="100"/>
      <c r="AX143" s="100"/>
      <c r="AY143" s="100"/>
      <c r="AZ143" s="100"/>
      <c r="BA143" s="100"/>
      <c r="BB143" s="100"/>
      <c r="BC143" s="100"/>
      <c r="BD143" s="100"/>
      <c r="BE143" s="100"/>
      <c r="BF143" s="100"/>
      <c r="BG143" s="100"/>
      <c r="BH143" s="101"/>
    </row>
    <row r="144" spans="2:60" s="94" customFormat="1" ht="15" hidden="1" customHeight="1" outlineLevel="1" x14ac:dyDescent="0.2">
      <c r="B144" s="593">
        <v>23</v>
      </c>
      <c r="C144" s="594"/>
      <c r="D144" s="594"/>
      <c r="E144" s="594"/>
      <c r="F144" s="594"/>
      <c r="G144" s="594"/>
      <c r="H144" s="594"/>
      <c r="I144" s="594"/>
      <c r="J144" s="594"/>
      <c r="K144" s="594"/>
      <c r="L144" s="594"/>
      <c r="M144" s="595"/>
      <c r="N144" s="99"/>
      <c r="O144" s="100"/>
      <c r="P144" s="100"/>
      <c r="Q144" s="100"/>
      <c r="R144" s="100"/>
      <c r="S144" s="100"/>
      <c r="T144" s="100"/>
      <c r="U144" s="100"/>
      <c r="V144" s="100"/>
      <c r="W144" s="100"/>
      <c r="X144" s="101"/>
      <c r="Y144" s="99"/>
      <c r="Z144" s="100"/>
      <c r="AA144" s="100"/>
      <c r="AB144" s="100"/>
      <c r="AC144" s="100"/>
      <c r="AD144" s="100"/>
      <c r="AE144" s="100"/>
      <c r="AF144" s="100"/>
      <c r="AG144" s="100"/>
      <c r="AH144" s="101"/>
      <c r="AI144" s="99"/>
      <c r="AJ144" s="100"/>
      <c r="AK144" s="100"/>
      <c r="AL144" s="100"/>
      <c r="AM144" s="100"/>
      <c r="AN144" s="100"/>
      <c r="AO144" s="100"/>
      <c r="AP144" s="103"/>
      <c r="AQ144" s="99"/>
      <c r="AR144" s="100"/>
      <c r="AS144" s="100"/>
      <c r="AT144" s="100"/>
      <c r="AU144" s="100"/>
      <c r="AV144" s="100"/>
      <c r="AW144" s="100"/>
      <c r="AX144" s="100"/>
      <c r="AY144" s="100"/>
      <c r="AZ144" s="100"/>
      <c r="BA144" s="100"/>
      <c r="BB144" s="100"/>
      <c r="BC144" s="100"/>
      <c r="BD144" s="100"/>
      <c r="BE144" s="100"/>
      <c r="BF144" s="100"/>
      <c r="BG144" s="100"/>
      <c r="BH144" s="101"/>
    </row>
    <row r="145" spans="2:61" s="94" customFormat="1" ht="15" hidden="1" customHeight="1" outlineLevel="1" x14ac:dyDescent="0.2">
      <c r="B145" s="593">
        <v>24</v>
      </c>
      <c r="C145" s="594"/>
      <c r="D145" s="594"/>
      <c r="E145" s="594"/>
      <c r="F145" s="594"/>
      <c r="G145" s="594"/>
      <c r="H145" s="594"/>
      <c r="I145" s="594"/>
      <c r="J145" s="594"/>
      <c r="K145" s="594"/>
      <c r="L145" s="594"/>
      <c r="M145" s="595"/>
      <c r="N145" s="99"/>
      <c r="O145" s="100"/>
      <c r="P145" s="100"/>
      <c r="Q145" s="100"/>
      <c r="R145" s="100"/>
      <c r="S145" s="100"/>
      <c r="T145" s="100"/>
      <c r="U145" s="100"/>
      <c r="V145" s="100"/>
      <c r="W145" s="100"/>
      <c r="X145" s="101"/>
      <c r="Y145" s="99"/>
      <c r="Z145" s="100"/>
      <c r="AA145" s="100"/>
      <c r="AB145" s="100"/>
      <c r="AC145" s="100"/>
      <c r="AD145" s="100"/>
      <c r="AE145" s="100"/>
      <c r="AF145" s="100"/>
      <c r="AG145" s="100"/>
      <c r="AH145" s="101"/>
      <c r="AI145" s="99"/>
      <c r="AJ145" s="100"/>
      <c r="AK145" s="100"/>
      <c r="AL145" s="100"/>
      <c r="AM145" s="100"/>
      <c r="AN145" s="100"/>
      <c r="AO145" s="100"/>
      <c r="AP145" s="103"/>
      <c r="AQ145" s="99"/>
      <c r="AR145" s="100"/>
      <c r="AS145" s="100"/>
      <c r="AT145" s="100"/>
      <c r="AU145" s="100"/>
      <c r="AV145" s="100"/>
      <c r="AW145" s="100"/>
      <c r="AX145" s="100"/>
      <c r="AY145" s="100"/>
      <c r="AZ145" s="100"/>
      <c r="BA145" s="100"/>
      <c r="BB145" s="100"/>
      <c r="BC145" s="100"/>
      <c r="BD145" s="100"/>
      <c r="BE145" s="100"/>
      <c r="BF145" s="100"/>
      <c r="BG145" s="100"/>
      <c r="BH145" s="101"/>
    </row>
    <row r="146" spans="2:61" s="94" customFormat="1" ht="15" hidden="1" customHeight="1" outlineLevel="1" x14ac:dyDescent="0.2">
      <c r="B146" s="601">
        <v>25</v>
      </c>
      <c r="C146" s="602"/>
      <c r="D146" s="602"/>
      <c r="E146" s="602"/>
      <c r="F146" s="602"/>
      <c r="G146" s="602"/>
      <c r="H146" s="602"/>
      <c r="I146" s="602"/>
      <c r="J146" s="602"/>
      <c r="K146" s="602"/>
      <c r="L146" s="602"/>
      <c r="M146" s="603"/>
      <c r="N146" s="104"/>
      <c r="O146" s="105"/>
      <c r="P146" s="105"/>
      <c r="Q146" s="105"/>
      <c r="R146" s="105"/>
      <c r="S146" s="105"/>
      <c r="T146" s="105"/>
      <c r="U146" s="105"/>
      <c r="V146" s="105"/>
      <c r="W146" s="105"/>
      <c r="X146" s="106"/>
      <c r="Y146" s="104"/>
      <c r="Z146" s="105"/>
      <c r="AA146" s="105"/>
      <c r="AB146" s="105"/>
      <c r="AC146" s="105"/>
      <c r="AD146" s="105"/>
      <c r="AE146" s="105"/>
      <c r="AF146" s="105"/>
      <c r="AG146" s="105"/>
      <c r="AH146" s="106"/>
      <c r="AI146" s="104"/>
      <c r="AJ146" s="105"/>
      <c r="AK146" s="105"/>
      <c r="AL146" s="105"/>
      <c r="AM146" s="105"/>
      <c r="AN146" s="105"/>
      <c r="AO146" s="105"/>
      <c r="AP146" s="108"/>
      <c r="AQ146" s="104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  <c r="BD146" s="105"/>
      <c r="BE146" s="105"/>
      <c r="BF146" s="105"/>
      <c r="BG146" s="105"/>
      <c r="BH146" s="106"/>
    </row>
    <row r="147" spans="2:61" s="116" customFormat="1" ht="3" customHeight="1" thickBot="1" x14ac:dyDescent="0.25">
      <c r="B147" s="126"/>
      <c r="C147" s="127"/>
      <c r="D147" s="127"/>
      <c r="E147" s="127"/>
      <c r="F147" s="127"/>
      <c r="G147" s="127"/>
      <c r="H147" s="127"/>
      <c r="I147" s="127"/>
      <c r="J147" s="127"/>
      <c r="K147" s="127"/>
      <c r="L147" s="127"/>
      <c r="M147" s="127"/>
      <c r="N147" s="128">
        <f>COUNT(N122:N146)</f>
        <v>7</v>
      </c>
      <c r="O147" s="128">
        <f t="shared" ref="O147:BH147" si="11">COUNT(O122:O146)</f>
        <v>10</v>
      </c>
      <c r="P147" s="128">
        <f t="shared" si="11"/>
        <v>0</v>
      </c>
      <c r="Q147" s="128">
        <f t="shared" si="11"/>
        <v>2</v>
      </c>
      <c r="R147" s="128">
        <f t="shared" si="11"/>
        <v>5</v>
      </c>
      <c r="S147" s="128">
        <f t="shared" si="11"/>
        <v>0</v>
      </c>
      <c r="T147" s="128">
        <f t="shared" si="11"/>
        <v>5</v>
      </c>
      <c r="U147" s="128">
        <f t="shared" si="11"/>
        <v>8</v>
      </c>
      <c r="V147" s="128">
        <f t="shared" si="11"/>
        <v>10</v>
      </c>
      <c r="W147" s="128">
        <f t="shared" si="11"/>
        <v>0</v>
      </c>
      <c r="X147" s="128">
        <f t="shared" si="11"/>
        <v>10</v>
      </c>
      <c r="Y147" s="128">
        <f t="shared" si="11"/>
        <v>0</v>
      </c>
      <c r="Z147" s="128">
        <f t="shared" si="11"/>
        <v>0</v>
      </c>
      <c r="AA147" s="128">
        <f t="shared" si="11"/>
        <v>0</v>
      </c>
      <c r="AB147" s="128">
        <f t="shared" si="11"/>
        <v>6</v>
      </c>
      <c r="AC147" s="128">
        <f t="shared" si="11"/>
        <v>6</v>
      </c>
      <c r="AD147" s="128">
        <f t="shared" si="11"/>
        <v>9</v>
      </c>
      <c r="AE147" s="128">
        <f t="shared" si="11"/>
        <v>4</v>
      </c>
      <c r="AF147" s="128">
        <f t="shared" si="11"/>
        <v>3</v>
      </c>
      <c r="AG147" s="128">
        <f t="shared" si="11"/>
        <v>6</v>
      </c>
      <c r="AH147" s="128">
        <f t="shared" si="11"/>
        <v>14</v>
      </c>
      <c r="AI147" s="128">
        <f t="shared" si="11"/>
        <v>0</v>
      </c>
      <c r="AJ147" s="128">
        <f t="shared" si="11"/>
        <v>0</v>
      </c>
      <c r="AK147" s="128">
        <f t="shared" si="11"/>
        <v>0</v>
      </c>
      <c r="AL147" s="128">
        <f t="shared" si="11"/>
        <v>0</v>
      </c>
      <c r="AM147" s="128">
        <f t="shared" si="11"/>
        <v>0</v>
      </c>
      <c r="AN147" s="128">
        <f t="shared" si="11"/>
        <v>0</v>
      </c>
      <c r="AO147" s="128">
        <f t="shared" si="11"/>
        <v>0</v>
      </c>
      <c r="AP147" s="128">
        <f t="shared" si="11"/>
        <v>0</v>
      </c>
      <c r="AQ147" s="129">
        <f t="shared" si="11"/>
        <v>4</v>
      </c>
      <c r="AR147" s="128">
        <f t="shared" si="11"/>
        <v>7</v>
      </c>
      <c r="AS147" s="128">
        <f t="shared" si="11"/>
        <v>11</v>
      </c>
      <c r="AT147" s="128">
        <f t="shared" si="11"/>
        <v>7</v>
      </c>
      <c r="AU147" s="128">
        <f t="shared" si="11"/>
        <v>10</v>
      </c>
      <c r="AV147" s="128">
        <f t="shared" si="11"/>
        <v>5</v>
      </c>
      <c r="AW147" s="128">
        <f t="shared" si="11"/>
        <v>9</v>
      </c>
      <c r="AX147" s="128">
        <f t="shared" si="11"/>
        <v>0</v>
      </c>
      <c r="AY147" s="128">
        <f t="shared" si="11"/>
        <v>0</v>
      </c>
      <c r="AZ147" s="128">
        <f t="shared" si="11"/>
        <v>9</v>
      </c>
      <c r="BA147" s="128">
        <f t="shared" si="11"/>
        <v>0</v>
      </c>
      <c r="BB147" s="128">
        <f t="shared" si="11"/>
        <v>0</v>
      </c>
      <c r="BC147" s="128">
        <f t="shared" si="11"/>
        <v>7</v>
      </c>
      <c r="BD147" s="128">
        <f t="shared" si="11"/>
        <v>0</v>
      </c>
      <c r="BE147" s="128">
        <f t="shared" si="11"/>
        <v>10</v>
      </c>
      <c r="BF147" s="128">
        <f t="shared" si="11"/>
        <v>0</v>
      </c>
      <c r="BG147" s="128">
        <f t="shared" si="11"/>
        <v>11</v>
      </c>
      <c r="BH147" s="130">
        <f t="shared" si="11"/>
        <v>0</v>
      </c>
    </row>
    <row r="148" spans="2:61" s="121" customFormat="1" ht="15" customHeight="1" collapsed="1" thickBot="1" x14ac:dyDescent="0.3">
      <c r="B148" s="117"/>
      <c r="C148" s="118"/>
      <c r="D148" s="118"/>
      <c r="E148" s="119"/>
      <c r="F148" s="79"/>
      <c r="G148" s="79"/>
      <c r="H148" s="79"/>
      <c r="I148" s="79"/>
      <c r="J148" s="79"/>
      <c r="K148" s="596" t="s">
        <v>139</v>
      </c>
      <c r="L148" s="596"/>
      <c r="M148" s="597"/>
      <c r="N148" s="81">
        <f t="shared" ref="N148:BF148" si="12">SUM(N149:N158)</f>
        <v>0</v>
      </c>
      <c r="O148" s="81">
        <f t="shared" si="12"/>
        <v>500</v>
      </c>
      <c r="P148" s="81">
        <f t="shared" si="12"/>
        <v>0</v>
      </c>
      <c r="Q148" s="81">
        <f t="shared" si="12"/>
        <v>0</v>
      </c>
      <c r="R148" s="81">
        <f t="shared" si="12"/>
        <v>0</v>
      </c>
      <c r="S148" s="81">
        <f t="shared" si="12"/>
        <v>0</v>
      </c>
      <c r="T148" s="81">
        <f t="shared" si="12"/>
        <v>800</v>
      </c>
      <c r="U148" s="81">
        <f t="shared" si="12"/>
        <v>400</v>
      </c>
      <c r="V148" s="81">
        <f t="shared" si="12"/>
        <v>0</v>
      </c>
      <c r="W148" s="81">
        <f t="shared" si="12"/>
        <v>500</v>
      </c>
      <c r="X148" s="81">
        <f t="shared" si="12"/>
        <v>0</v>
      </c>
      <c r="Y148" s="81">
        <f t="shared" si="12"/>
        <v>0</v>
      </c>
      <c r="Z148" s="81">
        <f t="shared" si="12"/>
        <v>0</v>
      </c>
      <c r="AA148" s="81">
        <f t="shared" si="12"/>
        <v>2200</v>
      </c>
      <c r="AB148" s="81">
        <f t="shared" si="12"/>
        <v>0</v>
      </c>
      <c r="AC148" s="81">
        <f t="shared" si="12"/>
        <v>1100</v>
      </c>
      <c r="AD148" s="81">
        <f t="shared" si="12"/>
        <v>0</v>
      </c>
      <c r="AE148" s="81">
        <f t="shared" si="12"/>
        <v>550</v>
      </c>
      <c r="AF148" s="81">
        <f t="shared" si="12"/>
        <v>0</v>
      </c>
      <c r="AG148" s="81">
        <f t="shared" si="12"/>
        <v>0</v>
      </c>
      <c r="AH148" s="81">
        <f t="shared" si="12"/>
        <v>600</v>
      </c>
      <c r="AI148" s="81">
        <f t="shared" si="12"/>
        <v>0</v>
      </c>
      <c r="AJ148" s="81">
        <f t="shared" si="12"/>
        <v>0</v>
      </c>
      <c r="AK148" s="81">
        <f t="shared" si="12"/>
        <v>0</v>
      </c>
      <c r="AL148" s="81">
        <f t="shared" si="12"/>
        <v>0</v>
      </c>
      <c r="AM148" s="81">
        <f t="shared" si="12"/>
        <v>0</v>
      </c>
      <c r="AN148" s="81">
        <f t="shared" si="12"/>
        <v>650</v>
      </c>
      <c r="AO148" s="81">
        <f t="shared" si="12"/>
        <v>0</v>
      </c>
      <c r="AP148" s="81">
        <f t="shared" si="12"/>
        <v>0</v>
      </c>
      <c r="AQ148" s="81">
        <f t="shared" si="12"/>
        <v>0</v>
      </c>
      <c r="AR148" s="81">
        <f t="shared" si="12"/>
        <v>0</v>
      </c>
      <c r="AS148" s="81">
        <f t="shared" si="12"/>
        <v>0</v>
      </c>
      <c r="AT148" s="81">
        <f t="shared" si="12"/>
        <v>900</v>
      </c>
      <c r="AU148" s="81">
        <f t="shared" si="12"/>
        <v>0</v>
      </c>
      <c r="AV148" s="81">
        <f t="shared" si="12"/>
        <v>1000</v>
      </c>
      <c r="AW148" s="81">
        <f t="shared" si="12"/>
        <v>0</v>
      </c>
      <c r="AX148" s="81">
        <f t="shared" si="12"/>
        <v>0</v>
      </c>
      <c r="AY148" s="81">
        <f t="shared" si="12"/>
        <v>0</v>
      </c>
      <c r="AZ148" s="81">
        <f t="shared" si="12"/>
        <v>300</v>
      </c>
      <c r="BA148" s="81">
        <f t="shared" si="12"/>
        <v>0</v>
      </c>
      <c r="BB148" s="81">
        <f t="shared" si="12"/>
        <v>500</v>
      </c>
      <c r="BC148" s="81">
        <f t="shared" si="12"/>
        <v>400</v>
      </c>
      <c r="BD148" s="81">
        <f t="shared" si="12"/>
        <v>0</v>
      </c>
      <c r="BE148" s="81">
        <f t="shared" si="12"/>
        <v>0</v>
      </c>
      <c r="BF148" s="81">
        <f t="shared" si="12"/>
        <v>0</v>
      </c>
      <c r="BG148" s="81">
        <f t="shared" ref="BG148:BH148" si="13">SUM(BG149:BG173)</f>
        <v>402</v>
      </c>
      <c r="BH148" s="81">
        <f t="shared" si="13"/>
        <v>0</v>
      </c>
      <c r="BI148" s="120"/>
    </row>
    <row r="149" spans="2:61" s="94" customFormat="1" ht="15" hidden="1" customHeight="1" outlineLevel="1" x14ac:dyDescent="0.2">
      <c r="B149" s="604">
        <v>1</v>
      </c>
      <c r="C149" s="605"/>
      <c r="D149" s="605"/>
      <c r="E149" s="605"/>
      <c r="F149" s="605"/>
      <c r="G149" s="605"/>
      <c r="H149" s="605"/>
      <c r="I149" s="605"/>
      <c r="J149" s="605"/>
      <c r="K149" s="605"/>
      <c r="L149" s="605"/>
      <c r="M149" s="606"/>
      <c r="N149" s="113"/>
      <c r="O149" s="90">
        <v>500</v>
      </c>
      <c r="P149" s="90"/>
      <c r="Q149" s="90"/>
      <c r="R149" s="90"/>
      <c r="S149" s="90"/>
      <c r="T149" s="90">
        <v>600</v>
      </c>
      <c r="U149" s="90">
        <v>400</v>
      </c>
      <c r="V149" s="90"/>
      <c r="W149" s="90">
        <v>500</v>
      </c>
      <c r="X149" s="91"/>
      <c r="Y149" s="113"/>
      <c r="Z149" s="90"/>
      <c r="AA149" s="90">
        <v>1100</v>
      </c>
      <c r="AB149" s="90"/>
      <c r="AC149" s="90">
        <v>700</v>
      </c>
      <c r="AD149" s="90"/>
      <c r="AE149" s="90">
        <v>550</v>
      </c>
      <c r="AF149" s="90"/>
      <c r="AG149" s="90"/>
      <c r="AH149" s="91">
        <v>600</v>
      </c>
      <c r="AI149" s="113"/>
      <c r="AJ149" s="90"/>
      <c r="AK149" s="90"/>
      <c r="AL149" s="90"/>
      <c r="AM149" s="90"/>
      <c r="AN149" s="90">
        <v>150</v>
      </c>
      <c r="AO149" s="90"/>
      <c r="AP149" s="112"/>
      <c r="AQ149" s="113"/>
      <c r="AR149" s="90"/>
      <c r="AS149" s="90"/>
      <c r="AT149" s="90">
        <v>300</v>
      </c>
      <c r="AU149" s="90"/>
      <c r="AV149" s="90">
        <v>800</v>
      </c>
      <c r="AW149" s="90"/>
      <c r="AX149" s="90"/>
      <c r="AY149" s="90"/>
      <c r="AZ149" s="90">
        <v>300</v>
      </c>
      <c r="BA149" s="90"/>
      <c r="BB149" s="90">
        <v>300</v>
      </c>
      <c r="BC149" s="90">
        <v>400</v>
      </c>
      <c r="BD149" s="90"/>
      <c r="BE149" s="90"/>
      <c r="BF149" s="90"/>
      <c r="BG149" s="90">
        <v>200</v>
      </c>
      <c r="BH149" s="91"/>
    </row>
    <row r="150" spans="2:61" s="94" customFormat="1" ht="15" hidden="1" customHeight="1" outlineLevel="1" x14ac:dyDescent="0.2">
      <c r="B150" s="593">
        <v>2</v>
      </c>
      <c r="C150" s="594"/>
      <c r="D150" s="594"/>
      <c r="E150" s="594"/>
      <c r="F150" s="594"/>
      <c r="G150" s="594"/>
      <c r="H150" s="594"/>
      <c r="I150" s="594"/>
      <c r="J150" s="594"/>
      <c r="K150" s="594"/>
      <c r="L150" s="594"/>
      <c r="M150" s="595"/>
      <c r="N150" s="95"/>
      <c r="O150" s="93"/>
      <c r="P150" s="93"/>
      <c r="Q150" s="93"/>
      <c r="R150" s="93"/>
      <c r="S150" s="93"/>
      <c r="T150" s="93">
        <v>200</v>
      </c>
      <c r="U150" s="93"/>
      <c r="V150" s="93"/>
      <c r="W150" s="93"/>
      <c r="X150" s="96"/>
      <c r="Y150" s="95"/>
      <c r="Z150" s="93"/>
      <c r="AA150" s="93">
        <v>1100</v>
      </c>
      <c r="AB150" s="93"/>
      <c r="AC150" s="93">
        <v>400</v>
      </c>
      <c r="AD150" s="93"/>
      <c r="AE150" s="93"/>
      <c r="AF150" s="93"/>
      <c r="AG150" s="93"/>
      <c r="AH150" s="96" t="s">
        <v>131</v>
      </c>
      <c r="AI150" s="95"/>
      <c r="AJ150" s="93"/>
      <c r="AK150" s="93"/>
      <c r="AL150" s="93"/>
      <c r="AM150" s="93"/>
      <c r="AN150" s="93">
        <v>300</v>
      </c>
      <c r="AO150" s="93"/>
      <c r="AP150" s="98"/>
      <c r="AQ150" s="95"/>
      <c r="AR150" s="93"/>
      <c r="AS150" s="93"/>
      <c r="AT150" s="93">
        <v>600</v>
      </c>
      <c r="AU150" s="93"/>
      <c r="AV150" s="93">
        <v>200</v>
      </c>
      <c r="AW150" s="93"/>
      <c r="AX150" s="93"/>
      <c r="AY150" s="93"/>
      <c r="AZ150" s="93"/>
      <c r="BA150" s="93"/>
      <c r="BB150" s="93">
        <v>200</v>
      </c>
      <c r="BC150" s="93"/>
      <c r="BD150" s="93"/>
      <c r="BE150" s="93"/>
      <c r="BF150" s="93"/>
      <c r="BG150" s="93">
        <v>200</v>
      </c>
      <c r="BH150" s="96"/>
    </row>
    <row r="151" spans="2:61" s="94" customFormat="1" ht="15" hidden="1" customHeight="1" outlineLevel="1" x14ac:dyDescent="0.2">
      <c r="B151" s="593">
        <v>3</v>
      </c>
      <c r="C151" s="594"/>
      <c r="D151" s="594"/>
      <c r="E151" s="594"/>
      <c r="F151" s="594"/>
      <c r="G151" s="594"/>
      <c r="H151" s="594"/>
      <c r="I151" s="594"/>
      <c r="J151" s="594"/>
      <c r="K151" s="594"/>
      <c r="L151" s="594"/>
      <c r="M151" s="595"/>
      <c r="N151" s="95"/>
      <c r="O151" s="93"/>
      <c r="P151" s="93"/>
      <c r="Q151" s="93"/>
      <c r="R151" s="93"/>
      <c r="S151" s="93"/>
      <c r="T151" s="93"/>
      <c r="U151" s="93"/>
      <c r="V151" s="93"/>
      <c r="W151" s="93"/>
      <c r="X151" s="96"/>
      <c r="Y151" s="95"/>
      <c r="Z151" s="93"/>
      <c r="AA151" s="93" t="s">
        <v>131</v>
      </c>
      <c r="AB151" s="93"/>
      <c r="AC151" s="93"/>
      <c r="AD151" s="93"/>
      <c r="AE151" s="93"/>
      <c r="AF151" s="93"/>
      <c r="AG151" s="93"/>
      <c r="AH151" s="96"/>
      <c r="AI151" s="95"/>
      <c r="AJ151" s="93"/>
      <c r="AK151" s="93"/>
      <c r="AL151" s="93"/>
      <c r="AM151" s="93"/>
      <c r="AN151" s="93">
        <v>200</v>
      </c>
      <c r="AO151" s="93"/>
      <c r="AP151" s="98"/>
      <c r="AQ151" s="95"/>
      <c r="AR151" s="93"/>
      <c r="AS151" s="93"/>
      <c r="AT151" s="93"/>
      <c r="AU151" s="93"/>
      <c r="AV151" s="93"/>
      <c r="AW151" s="93"/>
      <c r="AX151" s="93"/>
      <c r="AY151" s="93"/>
      <c r="AZ151" s="93"/>
      <c r="BA151" s="93"/>
      <c r="BB151" s="93"/>
      <c r="BC151" s="93"/>
      <c r="BD151" s="93"/>
      <c r="BE151" s="93"/>
      <c r="BF151" s="93"/>
      <c r="BG151" s="93"/>
      <c r="BH151" s="96"/>
    </row>
    <row r="152" spans="2:61" s="94" customFormat="1" ht="15" hidden="1" customHeight="1" outlineLevel="1" x14ac:dyDescent="0.2">
      <c r="B152" s="593">
        <v>4</v>
      </c>
      <c r="C152" s="594"/>
      <c r="D152" s="594"/>
      <c r="E152" s="594"/>
      <c r="F152" s="594"/>
      <c r="G152" s="594"/>
      <c r="H152" s="594"/>
      <c r="I152" s="594"/>
      <c r="J152" s="594"/>
      <c r="K152" s="594"/>
      <c r="L152" s="594"/>
      <c r="M152" s="595"/>
      <c r="N152" s="95"/>
      <c r="O152" s="93"/>
      <c r="P152" s="93"/>
      <c r="Q152" s="93"/>
      <c r="R152" s="93"/>
      <c r="S152" s="93"/>
      <c r="T152" s="93"/>
      <c r="U152" s="93"/>
      <c r="V152" s="93"/>
      <c r="W152" s="93"/>
      <c r="X152" s="96"/>
      <c r="Y152" s="95"/>
      <c r="Z152" s="93"/>
      <c r="AA152" s="93"/>
      <c r="AB152" s="93"/>
      <c r="AC152" s="93"/>
      <c r="AD152" s="93"/>
      <c r="AE152" s="93"/>
      <c r="AF152" s="93"/>
      <c r="AG152" s="93"/>
      <c r="AH152" s="96"/>
      <c r="AI152" s="95"/>
      <c r="AJ152" s="93"/>
      <c r="AK152" s="93"/>
      <c r="AL152" s="93"/>
      <c r="AM152" s="93"/>
      <c r="AN152" s="93"/>
      <c r="AO152" s="93"/>
      <c r="AP152" s="98"/>
      <c r="AQ152" s="95"/>
      <c r="AR152" s="93"/>
      <c r="AS152" s="93"/>
      <c r="AT152" s="93"/>
      <c r="AU152" s="93"/>
      <c r="AV152" s="93"/>
      <c r="AW152" s="93"/>
      <c r="AX152" s="93"/>
      <c r="AY152" s="93"/>
      <c r="AZ152" s="93"/>
      <c r="BA152" s="93"/>
      <c r="BB152" s="93"/>
      <c r="BC152" s="93"/>
      <c r="BD152" s="93"/>
      <c r="BE152" s="93"/>
      <c r="BF152" s="93"/>
      <c r="BG152" s="93"/>
      <c r="BH152" s="96"/>
    </row>
    <row r="153" spans="2:61" s="94" customFormat="1" ht="15" hidden="1" customHeight="1" outlineLevel="1" x14ac:dyDescent="0.2">
      <c r="B153" s="593">
        <v>5</v>
      </c>
      <c r="C153" s="594"/>
      <c r="D153" s="594"/>
      <c r="E153" s="594"/>
      <c r="F153" s="594"/>
      <c r="G153" s="594"/>
      <c r="H153" s="594"/>
      <c r="I153" s="594"/>
      <c r="J153" s="594"/>
      <c r="K153" s="594"/>
      <c r="L153" s="594"/>
      <c r="M153" s="595"/>
      <c r="N153" s="95"/>
      <c r="O153" s="93"/>
      <c r="P153" s="93"/>
      <c r="Q153" s="93"/>
      <c r="R153" s="93"/>
      <c r="S153" s="93"/>
      <c r="T153" s="93"/>
      <c r="U153" s="93"/>
      <c r="V153" s="93"/>
      <c r="W153" s="93"/>
      <c r="X153" s="96"/>
      <c r="Y153" s="95"/>
      <c r="Z153" s="93"/>
      <c r="AA153" s="93"/>
      <c r="AB153" s="93"/>
      <c r="AC153" s="93"/>
      <c r="AD153" s="93"/>
      <c r="AE153" s="93"/>
      <c r="AF153" s="93"/>
      <c r="AG153" s="93"/>
      <c r="AH153" s="96"/>
      <c r="AI153" s="95"/>
      <c r="AJ153" s="93"/>
      <c r="AK153" s="93"/>
      <c r="AL153" s="93"/>
      <c r="AM153" s="93"/>
      <c r="AN153" s="93"/>
      <c r="AO153" s="93"/>
      <c r="AP153" s="98"/>
      <c r="AQ153" s="95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6"/>
    </row>
    <row r="154" spans="2:61" s="94" customFormat="1" ht="15" hidden="1" customHeight="1" outlineLevel="1" x14ac:dyDescent="0.2">
      <c r="B154" s="593">
        <v>6</v>
      </c>
      <c r="C154" s="594"/>
      <c r="D154" s="594"/>
      <c r="E154" s="594"/>
      <c r="F154" s="594"/>
      <c r="G154" s="594"/>
      <c r="H154" s="594"/>
      <c r="I154" s="594"/>
      <c r="J154" s="594"/>
      <c r="K154" s="594"/>
      <c r="L154" s="594"/>
      <c r="M154" s="595"/>
      <c r="N154" s="95"/>
      <c r="O154" s="93"/>
      <c r="P154" s="93"/>
      <c r="Q154" s="93"/>
      <c r="R154" s="93"/>
      <c r="S154" s="93"/>
      <c r="T154" s="93"/>
      <c r="U154" s="93"/>
      <c r="V154" s="93"/>
      <c r="W154" s="93"/>
      <c r="X154" s="96"/>
      <c r="Y154" s="95"/>
      <c r="Z154" s="93"/>
      <c r="AA154" s="93"/>
      <c r="AB154" s="93"/>
      <c r="AC154" s="93"/>
      <c r="AD154" s="93"/>
      <c r="AE154" s="93"/>
      <c r="AF154" s="93"/>
      <c r="AG154" s="93"/>
      <c r="AH154" s="96"/>
      <c r="AI154" s="95"/>
      <c r="AJ154" s="93"/>
      <c r="AK154" s="93"/>
      <c r="AL154" s="93"/>
      <c r="AM154" s="93"/>
      <c r="AN154" s="93"/>
      <c r="AO154" s="93"/>
      <c r="AP154" s="98"/>
      <c r="AQ154" s="95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6"/>
    </row>
    <row r="155" spans="2:61" s="94" customFormat="1" ht="15" hidden="1" customHeight="1" outlineLevel="1" x14ac:dyDescent="0.2">
      <c r="B155" s="593">
        <v>7</v>
      </c>
      <c r="C155" s="594"/>
      <c r="D155" s="594"/>
      <c r="E155" s="594"/>
      <c r="F155" s="594"/>
      <c r="G155" s="594"/>
      <c r="H155" s="594"/>
      <c r="I155" s="594"/>
      <c r="J155" s="594"/>
      <c r="K155" s="594"/>
      <c r="L155" s="594"/>
      <c r="M155" s="595"/>
      <c r="N155" s="95"/>
      <c r="O155" s="93"/>
      <c r="P155" s="93"/>
      <c r="Q155" s="93"/>
      <c r="R155" s="93"/>
      <c r="S155" s="93"/>
      <c r="T155" s="93"/>
      <c r="U155" s="93"/>
      <c r="V155" s="93"/>
      <c r="W155" s="93"/>
      <c r="X155" s="96"/>
      <c r="Y155" s="95"/>
      <c r="Z155" s="93"/>
      <c r="AA155" s="93"/>
      <c r="AB155" s="93"/>
      <c r="AC155" s="93"/>
      <c r="AD155" s="93"/>
      <c r="AE155" s="93"/>
      <c r="AF155" s="93"/>
      <c r="AG155" s="93"/>
      <c r="AH155" s="96"/>
      <c r="AI155" s="95"/>
      <c r="AJ155" s="93"/>
      <c r="AK155" s="93"/>
      <c r="AL155" s="93"/>
      <c r="AM155" s="93"/>
      <c r="AN155" s="93"/>
      <c r="AO155" s="93"/>
      <c r="AP155" s="98"/>
      <c r="AQ155" s="95"/>
      <c r="AR155" s="93"/>
      <c r="AS155" s="93"/>
      <c r="AT155" s="93"/>
      <c r="AU155" s="93"/>
      <c r="AV155" s="93"/>
      <c r="AW155" s="93"/>
      <c r="AX155" s="93"/>
      <c r="AY155" s="93"/>
      <c r="AZ155" s="93"/>
      <c r="BA155" s="93"/>
      <c r="BB155" s="93"/>
      <c r="BC155" s="93"/>
      <c r="BD155" s="93"/>
      <c r="BE155" s="93"/>
      <c r="BF155" s="93"/>
      <c r="BG155" s="93"/>
      <c r="BH155" s="96"/>
    </row>
    <row r="156" spans="2:61" s="94" customFormat="1" ht="15" hidden="1" customHeight="1" outlineLevel="1" x14ac:dyDescent="0.2">
      <c r="B156" s="593">
        <v>8</v>
      </c>
      <c r="C156" s="594"/>
      <c r="D156" s="594"/>
      <c r="E156" s="594"/>
      <c r="F156" s="594"/>
      <c r="G156" s="594"/>
      <c r="H156" s="594"/>
      <c r="I156" s="594"/>
      <c r="J156" s="594"/>
      <c r="K156" s="594"/>
      <c r="L156" s="594"/>
      <c r="M156" s="595"/>
      <c r="N156" s="95"/>
      <c r="O156" s="93"/>
      <c r="P156" s="93"/>
      <c r="Q156" s="93"/>
      <c r="R156" s="93"/>
      <c r="S156" s="93"/>
      <c r="T156" s="93"/>
      <c r="U156" s="93"/>
      <c r="V156" s="93"/>
      <c r="W156" s="93"/>
      <c r="X156" s="96"/>
      <c r="Y156" s="95"/>
      <c r="Z156" s="93"/>
      <c r="AA156" s="93"/>
      <c r="AB156" s="93"/>
      <c r="AC156" s="93"/>
      <c r="AD156" s="93"/>
      <c r="AE156" s="93"/>
      <c r="AF156" s="93"/>
      <c r="AG156" s="93"/>
      <c r="AH156" s="96"/>
      <c r="AI156" s="95"/>
      <c r="AJ156" s="93"/>
      <c r="AK156" s="93"/>
      <c r="AL156" s="93"/>
      <c r="AM156" s="93"/>
      <c r="AN156" s="93"/>
      <c r="AO156" s="93"/>
      <c r="AP156" s="98"/>
      <c r="AQ156" s="95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6"/>
    </row>
    <row r="157" spans="2:61" s="94" customFormat="1" ht="15" hidden="1" customHeight="1" outlineLevel="1" x14ac:dyDescent="0.2">
      <c r="B157" s="593">
        <v>9</v>
      </c>
      <c r="C157" s="594"/>
      <c r="D157" s="594"/>
      <c r="E157" s="594"/>
      <c r="F157" s="594"/>
      <c r="G157" s="594"/>
      <c r="H157" s="594"/>
      <c r="I157" s="594"/>
      <c r="J157" s="594"/>
      <c r="K157" s="594"/>
      <c r="L157" s="594"/>
      <c r="M157" s="595"/>
      <c r="N157" s="95"/>
      <c r="O157" s="93"/>
      <c r="P157" s="93"/>
      <c r="Q157" s="93"/>
      <c r="R157" s="93"/>
      <c r="S157" s="93"/>
      <c r="T157" s="93"/>
      <c r="U157" s="93"/>
      <c r="V157" s="93"/>
      <c r="W157" s="93"/>
      <c r="X157" s="96"/>
      <c r="Y157" s="95"/>
      <c r="Z157" s="93"/>
      <c r="AA157" s="93"/>
      <c r="AB157" s="93"/>
      <c r="AC157" s="93"/>
      <c r="AD157" s="93"/>
      <c r="AE157" s="93"/>
      <c r="AF157" s="93"/>
      <c r="AG157" s="93"/>
      <c r="AH157" s="96"/>
      <c r="AI157" s="95"/>
      <c r="AJ157" s="93"/>
      <c r="AK157" s="93"/>
      <c r="AL157" s="93"/>
      <c r="AM157" s="93"/>
      <c r="AN157" s="93"/>
      <c r="AO157" s="93"/>
      <c r="AP157" s="98"/>
      <c r="AQ157" s="95"/>
      <c r="AR157" s="93"/>
      <c r="AS157" s="93"/>
      <c r="AT157" s="93"/>
      <c r="AU157" s="93"/>
      <c r="AV157" s="93"/>
      <c r="AW157" s="93"/>
      <c r="AX157" s="93"/>
      <c r="AY157" s="93"/>
      <c r="AZ157" s="93"/>
      <c r="BA157" s="93"/>
      <c r="BB157" s="93"/>
      <c r="BC157" s="93"/>
      <c r="BD157" s="93"/>
      <c r="BE157" s="93"/>
      <c r="BF157" s="93"/>
      <c r="BG157" s="93"/>
      <c r="BH157" s="96"/>
    </row>
    <row r="158" spans="2:61" s="94" customFormat="1" ht="15" hidden="1" customHeight="1" outlineLevel="1" x14ac:dyDescent="0.2">
      <c r="B158" s="593">
        <v>10</v>
      </c>
      <c r="C158" s="594"/>
      <c r="D158" s="594"/>
      <c r="E158" s="594"/>
      <c r="F158" s="594"/>
      <c r="G158" s="594"/>
      <c r="H158" s="594"/>
      <c r="I158" s="594"/>
      <c r="J158" s="594"/>
      <c r="K158" s="594"/>
      <c r="L158" s="594"/>
      <c r="M158" s="595"/>
      <c r="N158" s="95"/>
      <c r="O158" s="93"/>
      <c r="P158" s="93"/>
      <c r="Q158" s="93"/>
      <c r="R158" s="93"/>
      <c r="S158" s="93"/>
      <c r="T158" s="93"/>
      <c r="U158" s="93"/>
      <c r="V158" s="93"/>
      <c r="W158" s="93"/>
      <c r="X158" s="96"/>
      <c r="Y158" s="95"/>
      <c r="Z158" s="93"/>
      <c r="AA158" s="93"/>
      <c r="AB158" s="93"/>
      <c r="AC158" s="93"/>
      <c r="AD158" s="93"/>
      <c r="AE158" s="93"/>
      <c r="AF158" s="93"/>
      <c r="AG158" s="93"/>
      <c r="AH158" s="96"/>
      <c r="AI158" s="95"/>
      <c r="AJ158" s="93"/>
      <c r="AK158" s="93"/>
      <c r="AL158" s="93"/>
      <c r="AM158" s="93"/>
      <c r="AN158" s="93"/>
      <c r="AO158" s="93"/>
      <c r="AP158" s="98"/>
      <c r="AQ158" s="95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6"/>
    </row>
    <row r="159" spans="2:61" s="116" customFormat="1" ht="3" customHeight="1" thickBot="1" x14ac:dyDescent="0.25">
      <c r="B159" s="114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0">
        <f>COUNT(N149:N158)</f>
        <v>0</v>
      </c>
      <c r="O159" s="110">
        <f t="shared" ref="O159:BH159" si="14">COUNT(O149:O158)</f>
        <v>1</v>
      </c>
      <c r="P159" s="110">
        <f t="shared" si="14"/>
        <v>0</v>
      </c>
      <c r="Q159" s="110">
        <f t="shared" si="14"/>
        <v>0</v>
      </c>
      <c r="R159" s="110">
        <f t="shared" si="14"/>
        <v>0</v>
      </c>
      <c r="S159" s="110">
        <f t="shared" si="14"/>
        <v>0</v>
      </c>
      <c r="T159" s="110">
        <f t="shared" si="14"/>
        <v>2</v>
      </c>
      <c r="U159" s="110">
        <f t="shared" si="14"/>
        <v>1</v>
      </c>
      <c r="V159" s="110">
        <f t="shared" si="14"/>
        <v>0</v>
      </c>
      <c r="W159" s="110">
        <f t="shared" si="14"/>
        <v>1</v>
      </c>
      <c r="X159" s="110">
        <f t="shared" si="14"/>
        <v>0</v>
      </c>
      <c r="Y159" s="110">
        <f t="shared" si="14"/>
        <v>0</v>
      </c>
      <c r="Z159" s="110">
        <f t="shared" si="14"/>
        <v>0</v>
      </c>
      <c r="AA159" s="110">
        <f t="shared" si="14"/>
        <v>2</v>
      </c>
      <c r="AB159" s="110">
        <f t="shared" si="14"/>
        <v>0</v>
      </c>
      <c r="AC159" s="110">
        <f t="shared" si="14"/>
        <v>2</v>
      </c>
      <c r="AD159" s="110">
        <f t="shared" si="14"/>
        <v>0</v>
      </c>
      <c r="AE159" s="110">
        <f t="shared" si="14"/>
        <v>1</v>
      </c>
      <c r="AF159" s="110">
        <f t="shared" si="14"/>
        <v>0</v>
      </c>
      <c r="AG159" s="110">
        <f t="shared" si="14"/>
        <v>0</v>
      </c>
      <c r="AH159" s="110">
        <f t="shared" si="14"/>
        <v>1</v>
      </c>
      <c r="AI159" s="110">
        <f t="shared" si="14"/>
        <v>0</v>
      </c>
      <c r="AJ159" s="110">
        <f t="shared" si="14"/>
        <v>0</v>
      </c>
      <c r="AK159" s="110">
        <f t="shared" si="14"/>
        <v>0</v>
      </c>
      <c r="AL159" s="110">
        <f t="shared" si="14"/>
        <v>0</v>
      </c>
      <c r="AM159" s="110">
        <f t="shared" si="14"/>
        <v>0</v>
      </c>
      <c r="AN159" s="110">
        <f t="shared" si="14"/>
        <v>3</v>
      </c>
      <c r="AO159" s="110">
        <f t="shared" si="14"/>
        <v>0</v>
      </c>
      <c r="AP159" s="110">
        <f t="shared" si="14"/>
        <v>0</v>
      </c>
      <c r="AQ159" s="109">
        <f t="shared" si="14"/>
        <v>0</v>
      </c>
      <c r="AR159" s="110">
        <f t="shared" si="14"/>
        <v>0</v>
      </c>
      <c r="AS159" s="110">
        <f t="shared" si="14"/>
        <v>0</v>
      </c>
      <c r="AT159" s="110">
        <f t="shared" si="14"/>
        <v>2</v>
      </c>
      <c r="AU159" s="110">
        <f t="shared" si="14"/>
        <v>0</v>
      </c>
      <c r="AV159" s="110">
        <f t="shared" si="14"/>
        <v>2</v>
      </c>
      <c r="AW159" s="110">
        <f t="shared" si="14"/>
        <v>0</v>
      </c>
      <c r="AX159" s="110">
        <f t="shared" si="14"/>
        <v>0</v>
      </c>
      <c r="AY159" s="110">
        <f t="shared" si="14"/>
        <v>0</v>
      </c>
      <c r="AZ159" s="110">
        <f t="shared" si="14"/>
        <v>1</v>
      </c>
      <c r="BA159" s="110">
        <f t="shared" si="14"/>
        <v>0</v>
      </c>
      <c r="BB159" s="110">
        <f t="shared" si="14"/>
        <v>2</v>
      </c>
      <c r="BC159" s="110">
        <f t="shared" si="14"/>
        <v>1</v>
      </c>
      <c r="BD159" s="110">
        <f t="shared" si="14"/>
        <v>0</v>
      </c>
      <c r="BE159" s="110">
        <f t="shared" si="14"/>
        <v>0</v>
      </c>
      <c r="BF159" s="110">
        <f t="shared" si="14"/>
        <v>0</v>
      </c>
      <c r="BG159" s="110">
        <f t="shared" si="14"/>
        <v>2</v>
      </c>
      <c r="BH159" s="111">
        <f t="shared" si="14"/>
        <v>0</v>
      </c>
    </row>
    <row r="160" spans="2:61" s="132" customFormat="1" ht="15" customHeight="1" collapsed="1" thickBot="1" x14ac:dyDescent="0.3">
      <c r="B160" s="117"/>
      <c r="C160" s="118"/>
      <c r="D160" s="118"/>
      <c r="E160" s="119"/>
      <c r="F160" s="79"/>
      <c r="G160" s="79"/>
      <c r="H160" s="79"/>
      <c r="I160" s="79"/>
      <c r="J160" s="79"/>
      <c r="K160" s="596" t="s">
        <v>140</v>
      </c>
      <c r="L160" s="596"/>
      <c r="M160" s="597"/>
      <c r="N160" s="80">
        <f t="shared" ref="N160:BH160" si="15">SUM(N161:N185)</f>
        <v>0</v>
      </c>
      <c r="O160" s="81">
        <f t="shared" si="15"/>
        <v>0</v>
      </c>
      <c r="P160" s="81">
        <f t="shared" si="15"/>
        <v>0</v>
      </c>
      <c r="Q160" s="81">
        <f t="shared" si="15"/>
        <v>0</v>
      </c>
      <c r="R160" s="81">
        <f t="shared" si="15"/>
        <v>0</v>
      </c>
      <c r="S160" s="81">
        <f t="shared" si="15"/>
        <v>0</v>
      </c>
      <c r="T160" s="81">
        <f t="shared" si="15"/>
        <v>0</v>
      </c>
      <c r="U160" s="81">
        <f t="shared" si="15"/>
        <v>0</v>
      </c>
      <c r="V160" s="81">
        <f t="shared" si="15"/>
        <v>0</v>
      </c>
      <c r="W160" s="81">
        <f t="shared" si="15"/>
        <v>0</v>
      </c>
      <c r="X160" s="82">
        <f t="shared" si="15"/>
        <v>0</v>
      </c>
      <c r="Y160" s="80">
        <f t="shared" si="15"/>
        <v>0</v>
      </c>
      <c r="Z160" s="81">
        <f t="shared" si="15"/>
        <v>0</v>
      </c>
      <c r="AA160" s="81">
        <f t="shared" si="15"/>
        <v>0</v>
      </c>
      <c r="AB160" s="81">
        <f t="shared" si="15"/>
        <v>0</v>
      </c>
      <c r="AC160" s="81">
        <f t="shared" si="15"/>
        <v>0</v>
      </c>
      <c r="AD160" s="81">
        <f t="shared" si="15"/>
        <v>0</v>
      </c>
      <c r="AE160" s="81">
        <f t="shared" si="15"/>
        <v>0</v>
      </c>
      <c r="AF160" s="81">
        <f t="shared" si="15"/>
        <v>0</v>
      </c>
      <c r="AG160" s="81">
        <f t="shared" si="15"/>
        <v>0</v>
      </c>
      <c r="AH160" s="82">
        <f t="shared" si="15"/>
        <v>0</v>
      </c>
      <c r="AI160" s="80">
        <f t="shared" si="15"/>
        <v>0</v>
      </c>
      <c r="AJ160" s="81">
        <f t="shared" si="15"/>
        <v>0</v>
      </c>
      <c r="AK160" s="81">
        <f t="shared" si="15"/>
        <v>0</v>
      </c>
      <c r="AL160" s="81">
        <f t="shared" si="15"/>
        <v>0</v>
      </c>
      <c r="AM160" s="81">
        <f t="shared" si="15"/>
        <v>0</v>
      </c>
      <c r="AN160" s="81">
        <f t="shared" si="15"/>
        <v>0</v>
      </c>
      <c r="AO160" s="81">
        <f t="shared" si="15"/>
        <v>0</v>
      </c>
      <c r="AP160" s="83">
        <f t="shared" si="15"/>
        <v>0</v>
      </c>
      <c r="AQ160" s="80">
        <f t="shared" si="15"/>
        <v>0</v>
      </c>
      <c r="AR160" s="81">
        <f t="shared" si="15"/>
        <v>0</v>
      </c>
      <c r="AS160" s="81">
        <f t="shared" si="15"/>
        <v>0</v>
      </c>
      <c r="AT160" s="81">
        <f t="shared" si="15"/>
        <v>0</v>
      </c>
      <c r="AU160" s="81">
        <f t="shared" si="15"/>
        <v>0</v>
      </c>
      <c r="AV160" s="81">
        <f t="shared" si="15"/>
        <v>0</v>
      </c>
      <c r="AW160" s="81">
        <f t="shared" si="15"/>
        <v>0</v>
      </c>
      <c r="AX160" s="81">
        <f t="shared" si="15"/>
        <v>0</v>
      </c>
      <c r="AY160" s="81">
        <f t="shared" si="15"/>
        <v>0</v>
      </c>
      <c r="AZ160" s="81">
        <f t="shared" si="15"/>
        <v>0</v>
      </c>
      <c r="BA160" s="81">
        <f t="shared" si="15"/>
        <v>0</v>
      </c>
      <c r="BB160" s="81">
        <f t="shared" si="15"/>
        <v>0</v>
      </c>
      <c r="BC160" s="81">
        <f t="shared" si="15"/>
        <v>0</v>
      </c>
      <c r="BD160" s="81">
        <f t="shared" si="15"/>
        <v>0</v>
      </c>
      <c r="BE160" s="81">
        <f t="shared" si="15"/>
        <v>0</v>
      </c>
      <c r="BF160" s="81">
        <f t="shared" si="15"/>
        <v>0</v>
      </c>
      <c r="BG160" s="81">
        <f t="shared" si="15"/>
        <v>0</v>
      </c>
      <c r="BH160" s="82">
        <f t="shared" si="15"/>
        <v>0</v>
      </c>
      <c r="BI160" s="131"/>
    </row>
    <row r="161" spans="2:60" s="3" customFormat="1" ht="15" hidden="1" customHeight="1" outlineLevel="1" x14ac:dyDescent="0.2">
      <c r="B161" s="598">
        <v>1</v>
      </c>
      <c r="C161" s="599"/>
      <c r="D161" s="599"/>
      <c r="E161" s="599"/>
      <c r="F161" s="599"/>
      <c r="G161" s="599"/>
      <c r="H161" s="599"/>
      <c r="I161" s="599"/>
      <c r="J161" s="599"/>
      <c r="K161" s="599"/>
      <c r="L161" s="599"/>
      <c r="M161" s="600"/>
      <c r="N161" s="133"/>
      <c r="O161" s="134"/>
      <c r="P161" s="134"/>
      <c r="Q161" s="134"/>
      <c r="R161" s="134"/>
      <c r="S161" s="134"/>
      <c r="T161" s="134"/>
      <c r="U161" s="134"/>
      <c r="V161" s="134"/>
      <c r="W161" s="134"/>
      <c r="X161" s="135"/>
      <c r="Y161" s="133"/>
      <c r="Z161" s="134"/>
      <c r="AA161" s="134"/>
      <c r="AB161" s="134"/>
      <c r="AC161" s="134"/>
      <c r="AD161" s="134"/>
      <c r="AE161" s="134"/>
      <c r="AF161" s="134"/>
      <c r="AG161" s="134"/>
      <c r="AH161" s="135"/>
      <c r="AI161" s="133"/>
      <c r="AJ161" s="134"/>
      <c r="AK161" s="134"/>
      <c r="AL161" s="134"/>
      <c r="AM161" s="134"/>
      <c r="AN161" s="134"/>
      <c r="AO161" s="134"/>
      <c r="AP161" s="136"/>
      <c r="AQ161" s="133"/>
      <c r="AR161" s="134"/>
      <c r="AS161" s="134"/>
      <c r="AT161" s="134"/>
      <c r="AU161" s="134"/>
      <c r="AV161" s="134"/>
      <c r="AW161" s="134"/>
      <c r="AX161" s="134"/>
      <c r="AY161" s="134"/>
      <c r="AZ161" s="134"/>
      <c r="BA161" s="134"/>
      <c r="BB161" s="134"/>
      <c r="BC161" s="134"/>
      <c r="BD161" s="134"/>
      <c r="BE161" s="134"/>
      <c r="BF161" s="134"/>
      <c r="BG161" s="134"/>
      <c r="BH161" s="135"/>
    </row>
    <row r="162" spans="2:60" s="3" customFormat="1" ht="15" hidden="1" customHeight="1" outlineLevel="1" x14ac:dyDescent="0.2">
      <c r="B162" s="569">
        <v>2</v>
      </c>
      <c r="C162" s="570"/>
      <c r="D162" s="570"/>
      <c r="E162" s="570"/>
      <c r="F162" s="570"/>
      <c r="G162" s="570"/>
      <c r="H162" s="570"/>
      <c r="I162" s="570"/>
      <c r="J162" s="570"/>
      <c r="K162" s="570"/>
      <c r="L162" s="570"/>
      <c r="M162" s="571"/>
      <c r="N162" s="137"/>
      <c r="O162" s="138"/>
      <c r="P162" s="138"/>
      <c r="Q162" s="138"/>
      <c r="R162" s="138"/>
      <c r="S162" s="138"/>
      <c r="T162" s="138"/>
      <c r="U162" s="138"/>
      <c r="V162" s="138"/>
      <c r="W162" s="138"/>
      <c r="X162" s="139"/>
      <c r="Y162" s="137"/>
      <c r="Z162" s="138"/>
      <c r="AA162" s="138"/>
      <c r="AB162" s="138"/>
      <c r="AC162" s="138"/>
      <c r="AD162" s="138"/>
      <c r="AE162" s="138"/>
      <c r="AF162" s="138"/>
      <c r="AG162" s="138"/>
      <c r="AH162" s="139"/>
      <c r="AI162" s="137"/>
      <c r="AJ162" s="138"/>
      <c r="AK162" s="138"/>
      <c r="AL162" s="138"/>
      <c r="AM162" s="138"/>
      <c r="AN162" s="138"/>
      <c r="AO162" s="138"/>
      <c r="AP162" s="140"/>
      <c r="AQ162" s="137"/>
      <c r="AR162" s="138"/>
      <c r="AS162" s="138"/>
      <c r="AT162" s="138"/>
      <c r="AU162" s="138"/>
      <c r="AV162" s="138"/>
      <c r="AW162" s="138"/>
      <c r="AX162" s="138"/>
      <c r="AY162" s="138"/>
      <c r="AZ162" s="138"/>
      <c r="BA162" s="138"/>
      <c r="BB162" s="138"/>
      <c r="BC162" s="138"/>
      <c r="BD162" s="138"/>
      <c r="BE162" s="138"/>
      <c r="BF162" s="138"/>
      <c r="BG162" s="138"/>
      <c r="BH162" s="139"/>
    </row>
    <row r="163" spans="2:60" s="3" customFormat="1" ht="15" hidden="1" customHeight="1" outlineLevel="1" x14ac:dyDescent="0.2">
      <c r="B163" s="569">
        <v>3</v>
      </c>
      <c r="C163" s="570"/>
      <c r="D163" s="570"/>
      <c r="E163" s="570"/>
      <c r="F163" s="570"/>
      <c r="G163" s="570"/>
      <c r="H163" s="570"/>
      <c r="I163" s="570"/>
      <c r="J163" s="570"/>
      <c r="K163" s="570"/>
      <c r="L163" s="570"/>
      <c r="M163" s="571"/>
      <c r="N163" s="137"/>
      <c r="O163" s="138"/>
      <c r="P163" s="138"/>
      <c r="Q163" s="138"/>
      <c r="R163" s="138"/>
      <c r="S163" s="138"/>
      <c r="T163" s="138"/>
      <c r="U163" s="138"/>
      <c r="V163" s="138"/>
      <c r="W163" s="138"/>
      <c r="X163" s="139"/>
      <c r="Y163" s="137"/>
      <c r="Z163" s="138"/>
      <c r="AA163" s="138"/>
      <c r="AB163" s="138"/>
      <c r="AC163" s="138"/>
      <c r="AD163" s="138"/>
      <c r="AE163" s="138"/>
      <c r="AF163" s="138"/>
      <c r="AG163" s="138"/>
      <c r="AH163" s="139"/>
      <c r="AI163" s="137"/>
      <c r="AJ163" s="138"/>
      <c r="AK163" s="138"/>
      <c r="AL163" s="138"/>
      <c r="AM163" s="138"/>
      <c r="AN163" s="138"/>
      <c r="AO163" s="138"/>
      <c r="AP163" s="140"/>
      <c r="AQ163" s="137"/>
      <c r="AR163" s="138"/>
      <c r="AS163" s="138"/>
      <c r="AT163" s="138"/>
      <c r="AU163" s="138"/>
      <c r="AV163" s="138"/>
      <c r="AW163" s="138"/>
      <c r="AX163" s="138"/>
      <c r="AY163" s="138"/>
      <c r="AZ163" s="138"/>
      <c r="BA163" s="138"/>
      <c r="BB163" s="138"/>
      <c r="BC163" s="138"/>
      <c r="BD163" s="138"/>
      <c r="BE163" s="138"/>
      <c r="BF163" s="138"/>
      <c r="BG163" s="138"/>
      <c r="BH163" s="139"/>
    </row>
    <row r="164" spans="2:60" s="3" customFormat="1" ht="15" hidden="1" customHeight="1" outlineLevel="1" x14ac:dyDescent="0.2">
      <c r="B164" s="569">
        <v>4</v>
      </c>
      <c r="C164" s="570"/>
      <c r="D164" s="570"/>
      <c r="E164" s="570"/>
      <c r="F164" s="570"/>
      <c r="G164" s="570"/>
      <c r="H164" s="570"/>
      <c r="I164" s="570"/>
      <c r="J164" s="570"/>
      <c r="K164" s="570"/>
      <c r="L164" s="570"/>
      <c r="M164" s="571"/>
      <c r="N164" s="137"/>
      <c r="O164" s="138"/>
      <c r="P164" s="138"/>
      <c r="Q164" s="138"/>
      <c r="R164" s="138"/>
      <c r="S164" s="138"/>
      <c r="T164" s="138"/>
      <c r="U164" s="138"/>
      <c r="V164" s="138"/>
      <c r="W164" s="138"/>
      <c r="X164" s="139"/>
      <c r="Y164" s="137"/>
      <c r="Z164" s="138"/>
      <c r="AA164" s="138"/>
      <c r="AB164" s="138"/>
      <c r="AC164" s="138"/>
      <c r="AD164" s="138"/>
      <c r="AE164" s="138"/>
      <c r="AF164" s="138"/>
      <c r="AG164" s="138"/>
      <c r="AH164" s="139"/>
      <c r="AI164" s="137"/>
      <c r="AJ164" s="138"/>
      <c r="AK164" s="138"/>
      <c r="AL164" s="138"/>
      <c r="AM164" s="138"/>
      <c r="AN164" s="138"/>
      <c r="AO164" s="138"/>
      <c r="AP164" s="140"/>
      <c r="AQ164" s="137"/>
      <c r="AR164" s="138"/>
      <c r="AS164" s="138"/>
      <c r="AT164" s="138"/>
      <c r="AU164" s="138"/>
      <c r="AV164" s="138"/>
      <c r="AW164" s="138"/>
      <c r="AX164" s="138"/>
      <c r="AY164" s="138"/>
      <c r="AZ164" s="138"/>
      <c r="BA164" s="138"/>
      <c r="BB164" s="138"/>
      <c r="BC164" s="138"/>
      <c r="BD164" s="138"/>
      <c r="BE164" s="138"/>
      <c r="BF164" s="138"/>
      <c r="BG164" s="138"/>
      <c r="BH164" s="139"/>
    </row>
    <row r="165" spans="2:60" s="3" customFormat="1" ht="15" hidden="1" customHeight="1" outlineLevel="1" x14ac:dyDescent="0.2">
      <c r="B165" s="569">
        <v>5</v>
      </c>
      <c r="C165" s="570"/>
      <c r="D165" s="570"/>
      <c r="E165" s="570"/>
      <c r="F165" s="570"/>
      <c r="G165" s="570"/>
      <c r="H165" s="570"/>
      <c r="I165" s="570"/>
      <c r="J165" s="570"/>
      <c r="K165" s="570"/>
      <c r="L165" s="570"/>
      <c r="M165" s="571"/>
      <c r="N165" s="137"/>
      <c r="O165" s="138"/>
      <c r="P165" s="138"/>
      <c r="Q165" s="138"/>
      <c r="R165" s="138"/>
      <c r="S165" s="138"/>
      <c r="T165" s="138"/>
      <c r="U165" s="138"/>
      <c r="V165" s="138"/>
      <c r="W165" s="138"/>
      <c r="X165" s="139"/>
      <c r="Y165" s="137"/>
      <c r="Z165" s="138"/>
      <c r="AA165" s="138"/>
      <c r="AB165" s="138"/>
      <c r="AC165" s="138"/>
      <c r="AD165" s="138"/>
      <c r="AE165" s="138"/>
      <c r="AF165" s="138"/>
      <c r="AG165" s="138"/>
      <c r="AH165" s="139"/>
      <c r="AI165" s="137"/>
      <c r="AJ165" s="138"/>
      <c r="AK165" s="138"/>
      <c r="AL165" s="138"/>
      <c r="AM165" s="138"/>
      <c r="AN165" s="138"/>
      <c r="AO165" s="138"/>
      <c r="AP165" s="140"/>
      <c r="AQ165" s="137"/>
      <c r="AR165" s="138"/>
      <c r="AS165" s="138"/>
      <c r="AT165" s="138"/>
      <c r="AU165" s="138"/>
      <c r="AV165" s="138"/>
      <c r="AW165" s="138"/>
      <c r="AX165" s="138"/>
      <c r="AY165" s="138"/>
      <c r="AZ165" s="138"/>
      <c r="BA165" s="138"/>
      <c r="BB165" s="138"/>
      <c r="BC165" s="138"/>
      <c r="BD165" s="138"/>
      <c r="BE165" s="138"/>
      <c r="BF165" s="138"/>
      <c r="BG165" s="138"/>
      <c r="BH165" s="139"/>
    </row>
    <row r="166" spans="2:60" s="3" customFormat="1" ht="15" hidden="1" customHeight="1" outlineLevel="1" x14ac:dyDescent="0.2">
      <c r="B166" s="569">
        <v>6</v>
      </c>
      <c r="C166" s="570"/>
      <c r="D166" s="570"/>
      <c r="E166" s="570"/>
      <c r="F166" s="570"/>
      <c r="G166" s="570"/>
      <c r="H166" s="570"/>
      <c r="I166" s="570"/>
      <c r="J166" s="570"/>
      <c r="K166" s="570"/>
      <c r="L166" s="570"/>
      <c r="M166" s="571"/>
      <c r="N166" s="137"/>
      <c r="O166" s="138"/>
      <c r="P166" s="138"/>
      <c r="Q166" s="138"/>
      <c r="R166" s="138"/>
      <c r="S166" s="138"/>
      <c r="T166" s="138"/>
      <c r="U166" s="138"/>
      <c r="V166" s="138"/>
      <c r="W166" s="138"/>
      <c r="X166" s="139"/>
      <c r="Y166" s="137"/>
      <c r="Z166" s="138"/>
      <c r="AA166" s="138"/>
      <c r="AB166" s="138"/>
      <c r="AC166" s="138"/>
      <c r="AD166" s="138"/>
      <c r="AE166" s="138"/>
      <c r="AF166" s="138"/>
      <c r="AG166" s="138"/>
      <c r="AH166" s="139"/>
      <c r="AI166" s="137"/>
      <c r="AJ166" s="138"/>
      <c r="AK166" s="138"/>
      <c r="AL166" s="138"/>
      <c r="AM166" s="138"/>
      <c r="AN166" s="138"/>
      <c r="AO166" s="138"/>
      <c r="AP166" s="140"/>
      <c r="AQ166" s="137"/>
      <c r="AR166" s="138"/>
      <c r="AS166" s="138"/>
      <c r="AT166" s="138"/>
      <c r="AU166" s="138"/>
      <c r="AV166" s="138"/>
      <c r="AW166" s="138"/>
      <c r="AX166" s="138"/>
      <c r="AY166" s="138"/>
      <c r="AZ166" s="138"/>
      <c r="BA166" s="138"/>
      <c r="BB166" s="138"/>
      <c r="BC166" s="138"/>
      <c r="BD166" s="138"/>
      <c r="BE166" s="138"/>
      <c r="BF166" s="138"/>
      <c r="BG166" s="138"/>
      <c r="BH166" s="139"/>
    </row>
    <row r="167" spans="2:60" s="3" customFormat="1" ht="15" hidden="1" customHeight="1" outlineLevel="1" x14ac:dyDescent="0.2">
      <c r="B167" s="569">
        <v>7</v>
      </c>
      <c r="C167" s="570"/>
      <c r="D167" s="570"/>
      <c r="E167" s="570"/>
      <c r="F167" s="570"/>
      <c r="G167" s="570"/>
      <c r="H167" s="570"/>
      <c r="I167" s="570"/>
      <c r="J167" s="570"/>
      <c r="K167" s="570"/>
      <c r="L167" s="570"/>
      <c r="M167" s="571"/>
      <c r="N167" s="137"/>
      <c r="O167" s="138"/>
      <c r="P167" s="138"/>
      <c r="Q167" s="138"/>
      <c r="R167" s="138"/>
      <c r="S167" s="138"/>
      <c r="T167" s="138"/>
      <c r="U167" s="138"/>
      <c r="V167" s="138"/>
      <c r="W167" s="138"/>
      <c r="X167" s="139"/>
      <c r="Y167" s="137"/>
      <c r="Z167" s="138"/>
      <c r="AA167" s="138"/>
      <c r="AB167" s="138"/>
      <c r="AC167" s="138"/>
      <c r="AD167" s="138"/>
      <c r="AE167" s="138"/>
      <c r="AF167" s="138"/>
      <c r="AG167" s="138"/>
      <c r="AH167" s="139"/>
      <c r="AI167" s="137"/>
      <c r="AJ167" s="138"/>
      <c r="AK167" s="138"/>
      <c r="AL167" s="138"/>
      <c r="AM167" s="138"/>
      <c r="AN167" s="138"/>
      <c r="AO167" s="138"/>
      <c r="AP167" s="140"/>
      <c r="AQ167" s="137"/>
      <c r="AR167" s="138"/>
      <c r="AS167" s="138"/>
      <c r="AT167" s="138"/>
      <c r="AU167" s="138"/>
      <c r="AV167" s="138"/>
      <c r="AW167" s="138"/>
      <c r="AX167" s="138"/>
      <c r="AY167" s="138"/>
      <c r="AZ167" s="138"/>
      <c r="BA167" s="138"/>
      <c r="BB167" s="138"/>
      <c r="BC167" s="138"/>
      <c r="BD167" s="138"/>
      <c r="BE167" s="138"/>
      <c r="BF167" s="138"/>
      <c r="BG167" s="138"/>
      <c r="BH167" s="139"/>
    </row>
    <row r="168" spans="2:60" s="3" customFormat="1" ht="15" hidden="1" customHeight="1" outlineLevel="1" x14ac:dyDescent="0.2">
      <c r="B168" s="569">
        <v>8</v>
      </c>
      <c r="C168" s="570"/>
      <c r="D168" s="570"/>
      <c r="E168" s="570"/>
      <c r="F168" s="570"/>
      <c r="G168" s="570"/>
      <c r="H168" s="570"/>
      <c r="I168" s="570"/>
      <c r="J168" s="570"/>
      <c r="K168" s="570"/>
      <c r="L168" s="570"/>
      <c r="M168" s="571"/>
      <c r="N168" s="137"/>
      <c r="O168" s="138"/>
      <c r="P168" s="138"/>
      <c r="Q168" s="138"/>
      <c r="R168" s="138"/>
      <c r="S168" s="138"/>
      <c r="T168" s="138"/>
      <c r="U168" s="138"/>
      <c r="V168" s="138"/>
      <c r="W168" s="138"/>
      <c r="X168" s="139"/>
      <c r="Y168" s="137"/>
      <c r="Z168" s="138"/>
      <c r="AA168" s="138"/>
      <c r="AB168" s="138"/>
      <c r="AC168" s="138"/>
      <c r="AD168" s="138"/>
      <c r="AE168" s="138"/>
      <c r="AF168" s="138"/>
      <c r="AG168" s="138"/>
      <c r="AH168" s="139"/>
      <c r="AI168" s="137"/>
      <c r="AJ168" s="138"/>
      <c r="AK168" s="138"/>
      <c r="AL168" s="138"/>
      <c r="AM168" s="138"/>
      <c r="AN168" s="138"/>
      <c r="AO168" s="138"/>
      <c r="AP168" s="140"/>
      <c r="AQ168" s="137"/>
      <c r="AR168" s="138"/>
      <c r="AS168" s="138"/>
      <c r="AT168" s="138"/>
      <c r="AU168" s="138"/>
      <c r="AV168" s="138"/>
      <c r="AW168" s="138"/>
      <c r="AX168" s="138"/>
      <c r="AY168" s="138"/>
      <c r="AZ168" s="138"/>
      <c r="BA168" s="138"/>
      <c r="BB168" s="138"/>
      <c r="BC168" s="138"/>
      <c r="BD168" s="138"/>
      <c r="BE168" s="138"/>
      <c r="BF168" s="138"/>
      <c r="BG168" s="138"/>
      <c r="BH168" s="139"/>
    </row>
    <row r="169" spans="2:60" s="3" customFormat="1" ht="15" hidden="1" customHeight="1" outlineLevel="1" x14ac:dyDescent="0.2">
      <c r="B169" s="569">
        <v>9</v>
      </c>
      <c r="C169" s="570"/>
      <c r="D169" s="570"/>
      <c r="E169" s="570"/>
      <c r="F169" s="570"/>
      <c r="G169" s="570"/>
      <c r="H169" s="570"/>
      <c r="I169" s="570"/>
      <c r="J169" s="570"/>
      <c r="K169" s="570"/>
      <c r="L169" s="570"/>
      <c r="M169" s="571"/>
      <c r="N169" s="137"/>
      <c r="O169" s="138"/>
      <c r="P169" s="138"/>
      <c r="Q169" s="138"/>
      <c r="R169" s="138"/>
      <c r="S169" s="138"/>
      <c r="T169" s="138"/>
      <c r="U169" s="138"/>
      <c r="V169" s="138"/>
      <c r="W169" s="138"/>
      <c r="X169" s="139"/>
      <c r="Y169" s="137"/>
      <c r="Z169" s="138"/>
      <c r="AA169" s="138"/>
      <c r="AB169" s="138"/>
      <c r="AC169" s="138"/>
      <c r="AD169" s="138"/>
      <c r="AE169" s="138"/>
      <c r="AF169" s="138"/>
      <c r="AG169" s="138"/>
      <c r="AH169" s="139"/>
      <c r="AI169" s="137"/>
      <c r="AJ169" s="138"/>
      <c r="AK169" s="138"/>
      <c r="AL169" s="138"/>
      <c r="AM169" s="138"/>
      <c r="AN169" s="138"/>
      <c r="AO169" s="138"/>
      <c r="AP169" s="140"/>
      <c r="AQ169" s="137"/>
      <c r="AR169" s="138"/>
      <c r="AS169" s="138"/>
      <c r="AT169" s="138"/>
      <c r="AU169" s="138"/>
      <c r="AV169" s="138"/>
      <c r="AW169" s="138"/>
      <c r="AX169" s="138"/>
      <c r="AY169" s="138"/>
      <c r="AZ169" s="138"/>
      <c r="BA169" s="138"/>
      <c r="BB169" s="138"/>
      <c r="BC169" s="138"/>
      <c r="BD169" s="138"/>
      <c r="BE169" s="138"/>
      <c r="BF169" s="138"/>
      <c r="BG169" s="138"/>
      <c r="BH169" s="139"/>
    </row>
    <row r="170" spans="2:60" s="3" customFormat="1" ht="15" hidden="1" customHeight="1" outlineLevel="1" x14ac:dyDescent="0.2">
      <c r="B170" s="569">
        <v>10</v>
      </c>
      <c r="C170" s="570"/>
      <c r="D170" s="570"/>
      <c r="E170" s="570"/>
      <c r="F170" s="570"/>
      <c r="G170" s="570"/>
      <c r="H170" s="570"/>
      <c r="I170" s="570"/>
      <c r="J170" s="570"/>
      <c r="K170" s="570"/>
      <c r="L170" s="570"/>
      <c r="M170" s="571"/>
      <c r="N170" s="137"/>
      <c r="O170" s="138"/>
      <c r="P170" s="138"/>
      <c r="Q170" s="138"/>
      <c r="R170" s="138"/>
      <c r="S170" s="138"/>
      <c r="T170" s="138"/>
      <c r="U170" s="138"/>
      <c r="V170" s="138"/>
      <c r="W170" s="138"/>
      <c r="X170" s="139"/>
      <c r="Y170" s="137"/>
      <c r="Z170" s="138"/>
      <c r="AA170" s="138"/>
      <c r="AB170" s="138"/>
      <c r="AC170" s="138"/>
      <c r="AD170" s="138"/>
      <c r="AE170" s="138"/>
      <c r="AF170" s="138"/>
      <c r="AG170" s="138"/>
      <c r="AH170" s="139"/>
      <c r="AI170" s="137"/>
      <c r="AJ170" s="138"/>
      <c r="AK170" s="138"/>
      <c r="AL170" s="138"/>
      <c r="AM170" s="138"/>
      <c r="AN170" s="138"/>
      <c r="AO170" s="138"/>
      <c r="AP170" s="140"/>
      <c r="AQ170" s="137"/>
      <c r="AR170" s="138"/>
      <c r="AS170" s="138"/>
      <c r="AT170" s="138"/>
      <c r="AU170" s="138"/>
      <c r="AV170" s="138"/>
      <c r="AW170" s="138"/>
      <c r="AX170" s="138"/>
      <c r="AY170" s="138"/>
      <c r="AZ170" s="138"/>
      <c r="BA170" s="138"/>
      <c r="BB170" s="138"/>
      <c r="BC170" s="138"/>
      <c r="BD170" s="138"/>
      <c r="BE170" s="138"/>
      <c r="BF170" s="138"/>
      <c r="BG170" s="138"/>
      <c r="BH170" s="139"/>
    </row>
    <row r="171" spans="2:60" s="3" customFormat="1" ht="15" hidden="1" customHeight="1" outlineLevel="1" x14ac:dyDescent="0.2">
      <c r="B171" s="569">
        <v>11</v>
      </c>
      <c r="C171" s="570"/>
      <c r="D171" s="570"/>
      <c r="E171" s="570"/>
      <c r="F171" s="570"/>
      <c r="G171" s="570"/>
      <c r="H171" s="570"/>
      <c r="I171" s="570"/>
      <c r="J171" s="570"/>
      <c r="K171" s="570"/>
      <c r="L171" s="570"/>
      <c r="M171" s="571"/>
      <c r="N171" s="137"/>
      <c r="O171" s="138"/>
      <c r="P171" s="138"/>
      <c r="Q171" s="138"/>
      <c r="R171" s="138"/>
      <c r="S171" s="138"/>
      <c r="T171" s="138"/>
      <c r="U171" s="138"/>
      <c r="V171" s="138"/>
      <c r="W171" s="138"/>
      <c r="X171" s="139"/>
      <c r="Y171" s="137"/>
      <c r="Z171" s="138"/>
      <c r="AA171" s="138"/>
      <c r="AB171" s="138"/>
      <c r="AC171" s="138"/>
      <c r="AD171" s="138"/>
      <c r="AE171" s="138"/>
      <c r="AF171" s="138"/>
      <c r="AG171" s="138"/>
      <c r="AH171" s="139"/>
      <c r="AI171" s="137"/>
      <c r="AJ171" s="138"/>
      <c r="AK171" s="138"/>
      <c r="AL171" s="138"/>
      <c r="AM171" s="138"/>
      <c r="AN171" s="138"/>
      <c r="AO171" s="138"/>
      <c r="AP171" s="140"/>
      <c r="AQ171" s="137"/>
      <c r="AR171" s="138"/>
      <c r="AS171" s="138"/>
      <c r="AT171" s="138"/>
      <c r="AU171" s="138"/>
      <c r="AV171" s="138"/>
      <c r="AW171" s="138"/>
      <c r="AX171" s="138"/>
      <c r="AY171" s="138"/>
      <c r="AZ171" s="138"/>
      <c r="BA171" s="138"/>
      <c r="BB171" s="138"/>
      <c r="BC171" s="138"/>
      <c r="BD171" s="138"/>
      <c r="BE171" s="138"/>
      <c r="BF171" s="138"/>
      <c r="BG171" s="138"/>
      <c r="BH171" s="139"/>
    </row>
    <row r="172" spans="2:60" s="3" customFormat="1" ht="15" hidden="1" customHeight="1" outlineLevel="1" x14ac:dyDescent="0.2">
      <c r="B172" s="569">
        <v>12</v>
      </c>
      <c r="C172" s="570"/>
      <c r="D172" s="570"/>
      <c r="E172" s="570"/>
      <c r="F172" s="570"/>
      <c r="G172" s="570"/>
      <c r="H172" s="570"/>
      <c r="I172" s="570"/>
      <c r="J172" s="570"/>
      <c r="K172" s="570"/>
      <c r="L172" s="570"/>
      <c r="M172" s="571"/>
      <c r="N172" s="137"/>
      <c r="O172" s="138"/>
      <c r="P172" s="138"/>
      <c r="Q172" s="138"/>
      <c r="R172" s="138"/>
      <c r="S172" s="138"/>
      <c r="T172" s="138"/>
      <c r="U172" s="138"/>
      <c r="V172" s="138"/>
      <c r="W172" s="138"/>
      <c r="X172" s="139"/>
      <c r="Y172" s="137"/>
      <c r="Z172" s="138"/>
      <c r="AA172" s="138"/>
      <c r="AB172" s="138"/>
      <c r="AC172" s="138"/>
      <c r="AD172" s="138"/>
      <c r="AE172" s="138"/>
      <c r="AF172" s="138"/>
      <c r="AG172" s="138"/>
      <c r="AH172" s="139"/>
      <c r="AI172" s="137"/>
      <c r="AJ172" s="138"/>
      <c r="AK172" s="138"/>
      <c r="AL172" s="138"/>
      <c r="AM172" s="138"/>
      <c r="AN172" s="138"/>
      <c r="AO172" s="138"/>
      <c r="AP172" s="140"/>
      <c r="AQ172" s="137"/>
      <c r="AR172" s="138"/>
      <c r="AS172" s="138"/>
      <c r="AT172" s="138"/>
      <c r="AU172" s="138"/>
      <c r="AV172" s="138"/>
      <c r="AW172" s="138"/>
      <c r="AX172" s="138"/>
      <c r="AY172" s="138"/>
      <c r="AZ172" s="138"/>
      <c r="BA172" s="138"/>
      <c r="BB172" s="138"/>
      <c r="BC172" s="138"/>
      <c r="BD172" s="138"/>
      <c r="BE172" s="138"/>
      <c r="BF172" s="138"/>
      <c r="BG172" s="138"/>
      <c r="BH172" s="139"/>
    </row>
    <row r="173" spans="2:60" s="3" customFormat="1" ht="15" hidden="1" customHeight="1" outlineLevel="1" x14ac:dyDescent="0.2">
      <c r="B173" s="569">
        <v>13</v>
      </c>
      <c r="C173" s="570"/>
      <c r="D173" s="570"/>
      <c r="E173" s="570"/>
      <c r="F173" s="570"/>
      <c r="G173" s="570"/>
      <c r="H173" s="570"/>
      <c r="I173" s="570"/>
      <c r="J173" s="570"/>
      <c r="K173" s="570"/>
      <c r="L173" s="570"/>
      <c r="M173" s="571"/>
      <c r="N173" s="137"/>
      <c r="O173" s="138"/>
      <c r="P173" s="138"/>
      <c r="Q173" s="138"/>
      <c r="R173" s="138"/>
      <c r="S173" s="138"/>
      <c r="T173" s="138"/>
      <c r="U173" s="138"/>
      <c r="V173" s="138"/>
      <c r="W173" s="138"/>
      <c r="X173" s="139"/>
      <c r="Y173" s="137"/>
      <c r="Z173" s="138"/>
      <c r="AA173" s="138"/>
      <c r="AB173" s="138"/>
      <c r="AC173" s="138"/>
      <c r="AD173" s="138"/>
      <c r="AE173" s="138"/>
      <c r="AF173" s="138"/>
      <c r="AG173" s="138"/>
      <c r="AH173" s="139"/>
      <c r="AI173" s="137"/>
      <c r="AJ173" s="138"/>
      <c r="AK173" s="138"/>
      <c r="AL173" s="138"/>
      <c r="AM173" s="138"/>
      <c r="AN173" s="138"/>
      <c r="AO173" s="138"/>
      <c r="AP173" s="140"/>
      <c r="AQ173" s="137"/>
      <c r="AR173" s="138"/>
      <c r="AS173" s="138"/>
      <c r="AT173" s="138"/>
      <c r="AU173" s="138"/>
      <c r="AV173" s="138"/>
      <c r="AW173" s="138"/>
      <c r="AX173" s="138"/>
      <c r="AY173" s="138"/>
      <c r="AZ173" s="138"/>
      <c r="BA173" s="138"/>
      <c r="BB173" s="138"/>
      <c r="BC173" s="138"/>
      <c r="BD173" s="138"/>
      <c r="BE173" s="138"/>
      <c r="BF173" s="138"/>
      <c r="BG173" s="138"/>
      <c r="BH173" s="139"/>
    </row>
    <row r="174" spans="2:60" s="3" customFormat="1" ht="15" hidden="1" customHeight="1" outlineLevel="1" x14ac:dyDescent="0.2">
      <c r="B174" s="569">
        <v>14</v>
      </c>
      <c r="C174" s="570"/>
      <c r="D174" s="570"/>
      <c r="E174" s="570"/>
      <c r="F174" s="570"/>
      <c r="G174" s="570"/>
      <c r="H174" s="570"/>
      <c r="I174" s="570"/>
      <c r="J174" s="570"/>
      <c r="K174" s="570"/>
      <c r="L174" s="570"/>
      <c r="M174" s="571"/>
      <c r="N174" s="137"/>
      <c r="O174" s="138"/>
      <c r="P174" s="138"/>
      <c r="Q174" s="138"/>
      <c r="R174" s="138"/>
      <c r="S174" s="138"/>
      <c r="T174" s="138"/>
      <c r="U174" s="138"/>
      <c r="V174" s="138"/>
      <c r="W174" s="138"/>
      <c r="X174" s="139"/>
      <c r="Y174" s="137"/>
      <c r="Z174" s="138"/>
      <c r="AA174" s="138"/>
      <c r="AB174" s="138"/>
      <c r="AC174" s="138"/>
      <c r="AD174" s="138"/>
      <c r="AE174" s="138"/>
      <c r="AF174" s="138"/>
      <c r="AG174" s="138"/>
      <c r="AH174" s="139"/>
      <c r="AI174" s="137"/>
      <c r="AJ174" s="138"/>
      <c r="AK174" s="138"/>
      <c r="AL174" s="138"/>
      <c r="AM174" s="138"/>
      <c r="AN174" s="138"/>
      <c r="AO174" s="138"/>
      <c r="AP174" s="140"/>
      <c r="AQ174" s="137"/>
      <c r="AR174" s="138"/>
      <c r="AS174" s="138"/>
      <c r="AT174" s="138"/>
      <c r="AU174" s="138"/>
      <c r="AV174" s="138"/>
      <c r="AW174" s="138"/>
      <c r="AX174" s="138"/>
      <c r="AY174" s="138"/>
      <c r="AZ174" s="138"/>
      <c r="BA174" s="138"/>
      <c r="BB174" s="138"/>
      <c r="BC174" s="138"/>
      <c r="BD174" s="138"/>
      <c r="BE174" s="138"/>
      <c r="BF174" s="138"/>
      <c r="BG174" s="138"/>
      <c r="BH174" s="139"/>
    </row>
    <row r="175" spans="2:60" s="3" customFormat="1" ht="15" hidden="1" customHeight="1" outlineLevel="1" x14ac:dyDescent="0.2">
      <c r="B175" s="569">
        <v>15</v>
      </c>
      <c r="C175" s="570"/>
      <c r="D175" s="570"/>
      <c r="E175" s="570"/>
      <c r="F175" s="570"/>
      <c r="G175" s="570"/>
      <c r="H175" s="570"/>
      <c r="I175" s="570"/>
      <c r="J175" s="570"/>
      <c r="K175" s="570"/>
      <c r="L175" s="570"/>
      <c r="M175" s="571"/>
      <c r="N175" s="137"/>
      <c r="O175" s="138"/>
      <c r="P175" s="138"/>
      <c r="Q175" s="138"/>
      <c r="R175" s="138"/>
      <c r="S175" s="138"/>
      <c r="T175" s="138"/>
      <c r="U175" s="138"/>
      <c r="V175" s="138"/>
      <c r="W175" s="138"/>
      <c r="X175" s="139"/>
      <c r="Y175" s="137"/>
      <c r="Z175" s="138"/>
      <c r="AA175" s="138"/>
      <c r="AB175" s="138"/>
      <c r="AC175" s="138"/>
      <c r="AD175" s="138"/>
      <c r="AE175" s="138"/>
      <c r="AF175" s="138"/>
      <c r="AG175" s="138"/>
      <c r="AH175" s="139"/>
      <c r="AI175" s="137"/>
      <c r="AJ175" s="138"/>
      <c r="AK175" s="138"/>
      <c r="AL175" s="138"/>
      <c r="AM175" s="138"/>
      <c r="AN175" s="138"/>
      <c r="AO175" s="138"/>
      <c r="AP175" s="140"/>
      <c r="AQ175" s="137"/>
      <c r="AR175" s="138"/>
      <c r="AS175" s="138"/>
      <c r="AT175" s="138"/>
      <c r="AU175" s="138"/>
      <c r="AV175" s="138"/>
      <c r="AW175" s="138"/>
      <c r="AX175" s="138"/>
      <c r="AY175" s="138"/>
      <c r="AZ175" s="138"/>
      <c r="BA175" s="138"/>
      <c r="BB175" s="138"/>
      <c r="BC175" s="138"/>
      <c r="BD175" s="138"/>
      <c r="BE175" s="138"/>
      <c r="BF175" s="138"/>
      <c r="BG175" s="138"/>
      <c r="BH175" s="139"/>
    </row>
    <row r="176" spans="2:60" s="3" customFormat="1" ht="15" hidden="1" customHeight="1" outlineLevel="1" x14ac:dyDescent="0.2">
      <c r="B176" s="569">
        <v>16</v>
      </c>
      <c r="C176" s="570"/>
      <c r="D176" s="570"/>
      <c r="E176" s="570"/>
      <c r="F176" s="570"/>
      <c r="G176" s="570"/>
      <c r="H176" s="570"/>
      <c r="I176" s="570"/>
      <c r="J176" s="570"/>
      <c r="K176" s="570"/>
      <c r="L176" s="570"/>
      <c r="M176" s="571"/>
      <c r="N176" s="137"/>
      <c r="O176" s="138"/>
      <c r="P176" s="138"/>
      <c r="Q176" s="138"/>
      <c r="R176" s="138"/>
      <c r="S176" s="138"/>
      <c r="T176" s="138"/>
      <c r="U176" s="138"/>
      <c r="V176" s="138"/>
      <c r="W176" s="138"/>
      <c r="X176" s="139"/>
      <c r="Y176" s="137"/>
      <c r="Z176" s="138"/>
      <c r="AA176" s="138"/>
      <c r="AB176" s="138"/>
      <c r="AC176" s="138"/>
      <c r="AD176" s="138"/>
      <c r="AE176" s="138"/>
      <c r="AF176" s="138"/>
      <c r="AG176" s="138"/>
      <c r="AH176" s="139"/>
      <c r="AI176" s="137"/>
      <c r="AJ176" s="138"/>
      <c r="AK176" s="138"/>
      <c r="AL176" s="138"/>
      <c r="AM176" s="138"/>
      <c r="AN176" s="138"/>
      <c r="AO176" s="138"/>
      <c r="AP176" s="140"/>
      <c r="AQ176" s="137"/>
      <c r="AR176" s="138"/>
      <c r="AS176" s="138"/>
      <c r="AT176" s="138"/>
      <c r="AU176" s="138"/>
      <c r="AV176" s="138"/>
      <c r="AW176" s="138"/>
      <c r="AX176" s="138"/>
      <c r="AY176" s="138"/>
      <c r="AZ176" s="138"/>
      <c r="BA176" s="138"/>
      <c r="BB176" s="138"/>
      <c r="BC176" s="138"/>
      <c r="BD176" s="138"/>
      <c r="BE176" s="138"/>
      <c r="BF176" s="138"/>
      <c r="BG176" s="138"/>
      <c r="BH176" s="139"/>
    </row>
    <row r="177" spans="2:62" s="3" customFormat="1" ht="15" hidden="1" customHeight="1" outlineLevel="1" x14ac:dyDescent="0.2">
      <c r="B177" s="569">
        <v>17</v>
      </c>
      <c r="C177" s="570"/>
      <c r="D177" s="570"/>
      <c r="E177" s="570"/>
      <c r="F177" s="570"/>
      <c r="G177" s="570"/>
      <c r="H177" s="570"/>
      <c r="I177" s="570"/>
      <c r="J177" s="570"/>
      <c r="K177" s="570"/>
      <c r="L177" s="570"/>
      <c r="M177" s="571"/>
      <c r="N177" s="137"/>
      <c r="O177" s="138"/>
      <c r="P177" s="138"/>
      <c r="Q177" s="138"/>
      <c r="R177" s="138"/>
      <c r="S177" s="138"/>
      <c r="T177" s="138"/>
      <c r="U177" s="138"/>
      <c r="V177" s="138"/>
      <c r="W177" s="138"/>
      <c r="X177" s="139"/>
      <c r="Y177" s="137"/>
      <c r="Z177" s="138"/>
      <c r="AA177" s="138"/>
      <c r="AB177" s="138"/>
      <c r="AC177" s="138"/>
      <c r="AD177" s="138"/>
      <c r="AE177" s="138"/>
      <c r="AF177" s="138"/>
      <c r="AG177" s="138"/>
      <c r="AH177" s="139"/>
      <c r="AI177" s="137"/>
      <c r="AJ177" s="138"/>
      <c r="AK177" s="138"/>
      <c r="AL177" s="138"/>
      <c r="AM177" s="138"/>
      <c r="AN177" s="138"/>
      <c r="AO177" s="138"/>
      <c r="AP177" s="140"/>
      <c r="AQ177" s="137"/>
      <c r="AR177" s="138"/>
      <c r="AS177" s="138"/>
      <c r="AT177" s="138"/>
      <c r="AU177" s="138"/>
      <c r="AV177" s="138"/>
      <c r="AW177" s="138"/>
      <c r="AX177" s="138"/>
      <c r="AY177" s="138"/>
      <c r="AZ177" s="138"/>
      <c r="BA177" s="138"/>
      <c r="BB177" s="138"/>
      <c r="BC177" s="138"/>
      <c r="BD177" s="138"/>
      <c r="BE177" s="138"/>
      <c r="BF177" s="138"/>
      <c r="BG177" s="138"/>
      <c r="BH177" s="139"/>
    </row>
    <row r="178" spans="2:62" s="3" customFormat="1" ht="15" hidden="1" customHeight="1" outlineLevel="1" x14ac:dyDescent="0.2">
      <c r="B178" s="569">
        <v>18</v>
      </c>
      <c r="C178" s="570"/>
      <c r="D178" s="570"/>
      <c r="E178" s="570"/>
      <c r="F178" s="570"/>
      <c r="G178" s="570"/>
      <c r="H178" s="570"/>
      <c r="I178" s="570"/>
      <c r="J178" s="570"/>
      <c r="K178" s="570"/>
      <c r="L178" s="570"/>
      <c r="M178" s="571"/>
      <c r="N178" s="137"/>
      <c r="O178" s="138"/>
      <c r="P178" s="138"/>
      <c r="Q178" s="138"/>
      <c r="R178" s="138"/>
      <c r="S178" s="138"/>
      <c r="T178" s="138"/>
      <c r="U178" s="138"/>
      <c r="V178" s="138"/>
      <c r="W178" s="138"/>
      <c r="X178" s="139"/>
      <c r="Y178" s="137"/>
      <c r="Z178" s="138"/>
      <c r="AA178" s="138"/>
      <c r="AB178" s="138"/>
      <c r="AC178" s="138"/>
      <c r="AD178" s="138"/>
      <c r="AE178" s="138"/>
      <c r="AF178" s="138"/>
      <c r="AG178" s="138"/>
      <c r="AH178" s="139"/>
      <c r="AI178" s="137"/>
      <c r="AJ178" s="138"/>
      <c r="AK178" s="138"/>
      <c r="AL178" s="138"/>
      <c r="AM178" s="138"/>
      <c r="AN178" s="138"/>
      <c r="AO178" s="138"/>
      <c r="AP178" s="140"/>
      <c r="AQ178" s="137"/>
      <c r="AR178" s="138"/>
      <c r="AS178" s="138"/>
      <c r="AT178" s="138"/>
      <c r="AU178" s="138"/>
      <c r="AV178" s="138"/>
      <c r="AW178" s="138"/>
      <c r="AX178" s="138"/>
      <c r="AY178" s="138"/>
      <c r="AZ178" s="138"/>
      <c r="BA178" s="138"/>
      <c r="BB178" s="138"/>
      <c r="BC178" s="138"/>
      <c r="BD178" s="138"/>
      <c r="BE178" s="138"/>
      <c r="BF178" s="138"/>
      <c r="BG178" s="138"/>
      <c r="BH178" s="139"/>
    </row>
    <row r="179" spans="2:62" s="3" customFormat="1" ht="15" hidden="1" customHeight="1" outlineLevel="1" x14ac:dyDescent="0.2">
      <c r="B179" s="569">
        <v>19</v>
      </c>
      <c r="C179" s="570"/>
      <c r="D179" s="570"/>
      <c r="E179" s="570"/>
      <c r="F179" s="570"/>
      <c r="G179" s="570"/>
      <c r="H179" s="570"/>
      <c r="I179" s="570"/>
      <c r="J179" s="570"/>
      <c r="K179" s="570"/>
      <c r="L179" s="570"/>
      <c r="M179" s="571"/>
      <c r="N179" s="137"/>
      <c r="O179" s="138"/>
      <c r="P179" s="138"/>
      <c r="Q179" s="138"/>
      <c r="R179" s="138"/>
      <c r="S179" s="138"/>
      <c r="T179" s="138"/>
      <c r="U179" s="138"/>
      <c r="V179" s="138"/>
      <c r="W179" s="138"/>
      <c r="X179" s="139"/>
      <c r="Y179" s="137"/>
      <c r="Z179" s="138"/>
      <c r="AA179" s="138"/>
      <c r="AB179" s="138"/>
      <c r="AC179" s="138"/>
      <c r="AD179" s="138"/>
      <c r="AE179" s="138"/>
      <c r="AF179" s="138"/>
      <c r="AG179" s="138"/>
      <c r="AH179" s="139"/>
      <c r="AI179" s="137"/>
      <c r="AJ179" s="138"/>
      <c r="AK179" s="138"/>
      <c r="AL179" s="138"/>
      <c r="AM179" s="138"/>
      <c r="AN179" s="138"/>
      <c r="AO179" s="138"/>
      <c r="AP179" s="140"/>
      <c r="AQ179" s="137"/>
      <c r="AR179" s="138"/>
      <c r="AS179" s="138"/>
      <c r="AT179" s="138"/>
      <c r="AU179" s="138"/>
      <c r="AV179" s="138"/>
      <c r="AW179" s="138"/>
      <c r="AX179" s="138"/>
      <c r="AY179" s="138"/>
      <c r="AZ179" s="138"/>
      <c r="BA179" s="138"/>
      <c r="BB179" s="138"/>
      <c r="BC179" s="138"/>
      <c r="BD179" s="138"/>
      <c r="BE179" s="138"/>
      <c r="BF179" s="138"/>
      <c r="BG179" s="138"/>
      <c r="BH179" s="139"/>
    </row>
    <row r="180" spans="2:62" s="3" customFormat="1" ht="15" hidden="1" customHeight="1" outlineLevel="1" x14ac:dyDescent="0.2">
      <c r="B180" s="569">
        <v>20</v>
      </c>
      <c r="C180" s="570"/>
      <c r="D180" s="570"/>
      <c r="E180" s="570"/>
      <c r="F180" s="570"/>
      <c r="G180" s="570"/>
      <c r="H180" s="570"/>
      <c r="I180" s="570"/>
      <c r="J180" s="570"/>
      <c r="K180" s="570"/>
      <c r="L180" s="570"/>
      <c r="M180" s="571"/>
      <c r="N180" s="141"/>
      <c r="O180" s="142"/>
      <c r="P180" s="142"/>
      <c r="Q180" s="142"/>
      <c r="R180" s="142"/>
      <c r="S180" s="142"/>
      <c r="T180" s="142"/>
      <c r="U180" s="142"/>
      <c r="V180" s="142"/>
      <c r="W180" s="142"/>
      <c r="X180" s="143"/>
      <c r="Y180" s="141"/>
      <c r="Z180" s="142"/>
      <c r="AA180" s="142"/>
      <c r="AB180" s="142"/>
      <c r="AC180" s="142"/>
      <c r="AD180" s="142"/>
      <c r="AE180" s="142"/>
      <c r="AF180" s="142"/>
      <c r="AG180" s="142"/>
      <c r="AH180" s="143"/>
      <c r="AI180" s="141"/>
      <c r="AJ180" s="142"/>
      <c r="AK180" s="142"/>
      <c r="AL180" s="142"/>
      <c r="AM180" s="142"/>
      <c r="AN180" s="142"/>
      <c r="AO180" s="142"/>
      <c r="AP180" s="144"/>
      <c r="AQ180" s="141"/>
      <c r="AR180" s="142"/>
      <c r="AS180" s="142"/>
      <c r="AT180" s="142"/>
      <c r="AU180" s="142"/>
      <c r="AV180" s="142"/>
      <c r="AW180" s="142"/>
      <c r="AX180" s="142"/>
      <c r="AY180" s="142"/>
      <c r="AZ180" s="142"/>
      <c r="BA180" s="142"/>
      <c r="BB180" s="142"/>
      <c r="BC180" s="142"/>
      <c r="BD180" s="142"/>
      <c r="BE180" s="142"/>
      <c r="BF180" s="142"/>
      <c r="BG180" s="142"/>
      <c r="BH180" s="143"/>
    </row>
    <row r="181" spans="2:62" s="3" customFormat="1" ht="15" hidden="1" customHeight="1" outlineLevel="1" x14ac:dyDescent="0.2">
      <c r="B181" s="569">
        <v>21</v>
      </c>
      <c r="C181" s="570"/>
      <c r="D181" s="570"/>
      <c r="E181" s="570"/>
      <c r="F181" s="570"/>
      <c r="G181" s="570"/>
      <c r="H181" s="570"/>
      <c r="I181" s="570"/>
      <c r="J181" s="570"/>
      <c r="K181" s="570"/>
      <c r="L181" s="570"/>
      <c r="M181" s="571"/>
      <c r="N181" s="141"/>
      <c r="O181" s="142"/>
      <c r="P181" s="142"/>
      <c r="Q181" s="142"/>
      <c r="R181" s="142"/>
      <c r="S181" s="142"/>
      <c r="T181" s="142"/>
      <c r="U181" s="142"/>
      <c r="V181" s="142"/>
      <c r="W181" s="142"/>
      <c r="X181" s="143"/>
      <c r="Y181" s="141"/>
      <c r="Z181" s="142"/>
      <c r="AA181" s="142"/>
      <c r="AB181" s="142"/>
      <c r="AC181" s="142"/>
      <c r="AD181" s="142"/>
      <c r="AE181" s="142"/>
      <c r="AF181" s="142"/>
      <c r="AG181" s="142"/>
      <c r="AH181" s="143"/>
      <c r="AI181" s="141"/>
      <c r="AJ181" s="142"/>
      <c r="AK181" s="142"/>
      <c r="AL181" s="142"/>
      <c r="AM181" s="142"/>
      <c r="AN181" s="142"/>
      <c r="AO181" s="142"/>
      <c r="AP181" s="144"/>
      <c r="AQ181" s="141"/>
      <c r="AR181" s="142"/>
      <c r="AS181" s="142"/>
      <c r="AT181" s="142"/>
      <c r="AU181" s="142"/>
      <c r="AV181" s="142"/>
      <c r="AW181" s="142"/>
      <c r="AX181" s="142"/>
      <c r="AY181" s="142"/>
      <c r="AZ181" s="142"/>
      <c r="BA181" s="142"/>
      <c r="BB181" s="142"/>
      <c r="BC181" s="142"/>
      <c r="BD181" s="142"/>
      <c r="BE181" s="142"/>
      <c r="BF181" s="142"/>
      <c r="BG181" s="142"/>
      <c r="BH181" s="143"/>
    </row>
    <row r="182" spans="2:62" s="3" customFormat="1" ht="15" hidden="1" customHeight="1" outlineLevel="1" x14ac:dyDescent="0.2">
      <c r="B182" s="569">
        <v>22</v>
      </c>
      <c r="C182" s="570"/>
      <c r="D182" s="570"/>
      <c r="E182" s="570"/>
      <c r="F182" s="570"/>
      <c r="G182" s="570"/>
      <c r="H182" s="570"/>
      <c r="I182" s="570"/>
      <c r="J182" s="570"/>
      <c r="K182" s="570"/>
      <c r="L182" s="570"/>
      <c r="M182" s="571"/>
      <c r="N182" s="141"/>
      <c r="O182" s="142"/>
      <c r="P182" s="142"/>
      <c r="Q182" s="142"/>
      <c r="R182" s="142"/>
      <c r="S182" s="142"/>
      <c r="T182" s="142"/>
      <c r="U182" s="142"/>
      <c r="V182" s="142"/>
      <c r="W182" s="142"/>
      <c r="X182" s="143"/>
      <c r="Y182" s="141"/>
      <c r="Z182" s="142"/>
      <c r="AA182" s="142"/>
      <c r="AB182" s="142"/>
      <c r="AC182" s="142"/>
      <c r="AD182" s="142"/>
      <c r="AE182" s="142"/>
      <c r="AF182" s="142"/>
      <c r="AG182" s="142"/>
      <c r="AH182" s="143"/>
      <c r="AI182" s="141"/>
      <c r="AJ182" s="142"/>
      <c r="AK182" s="142"/>
      <c r="AL182" s="142"/>
      <c r="AM182" s="142"/>
      <c r="AN182" s="142"/>
      <c r="AO182" s="142"/>
      <c r="AP182" s="144"/>
      <c r="AQ182" s="141"/>
      <c r="AR182" s="142"/>
      <c r="AS182" s="142"/>
      <c r="AT182" s="142"/>
      <c r="AU182" s="142"/>
      <c r="AV182" s="142"/>
      <c r="AW182" s="142"/>
      <c r="AX182" s="142"/>
      <c r="AY182" s="142"/>
      <c r="AZ182" s="142"/>
      <c r="BA182" s="142"/>
      <c r="BB182" s="142"/>
      <c r="BC182" s="142"/>
      <c r="BD182" s="142"/>
      <c r="BE182" s="142"/>
      <c r="BF182" s="142"/>
      <c r="BG182" s="142"/>
      <c r="BH182" s="143"/>
    </row>
    <row r="183" spans="2:62" s="3" customFormat="1" ht="15" hidden="1" customHeight="1" outlineLevel="1" x14ac:dyDescent="0.2">
      <c r="B183" s="569">
        <v>23</v>
      </c>
      <c r="C183" s="570"/>
      <c r="D183" s="570"/>
      <c r="E183" s="570"/>
      <c r="F183" s="570"/>
      <c r="G183" s="570"/>
      <c r="H183" s="570"/>
      <c r="I183" s="570"/>
      <c r="J183" s="570"/>
      <c r="K183" s="570"/>
      <c r="L183" s="570"/>
      <c r="M183" s="571"/>
      <c r="N183" s="141"/>
      <c r="O183" s="142"/>
      <c r="P183" s="142"/>
      <c r="Q183" s="142"/>
      <c r="R183" s="142"/>
      <c r="S183" s="142"/>
      <c r="T183" s="142"/>
      <c r="U183" s="142"/>
      <c r="V183" s="142"/>
      <c r="W183" s="142"/>
      <c r="X183" s="143"/>
      <c r="Y183" s="141"/>
      <c r="Z183" s="142"/>
      <c r="AA183" s="142"/>
      <c r="AB183" s="142"/>
      <c r="AC183" s="142"/>
      <c r="AD183" s="142"/>
      <c r="AE183" s="142"/>
      <c r="AF183" s="142"/>
      <c r="AG183" s="142"/>
      <c r="AH183" s="143"/>
      <c r="AI183" s="141"/>
      <c r="AJ183" s="142"/>
      <c r="AK183" s="142"/>
      <c r="AL183" s="142"/>
      <c r="AM183" s="142"/>
      <c r="AN183" s="142"/>
      <c r="AO183" s="142"/>
      <c r="AP183" s="144"/>
      <c r="AQ183" s="141"/>
      <c r="AR183" s="142"/>
      <c r="AS183" s="142"/>
      <c r="AT183" s="142"/>
      <c r="AU183" s="142"/>
      <c r="AV183" s="142"/>
      <c r="AW183" s="142"/>
      <c r="AX183" s="142"/>
      <c r="AY183" s="142"/>
      <c r="AZ183" s="142"/>
      <c r="BA183" s="142"/>
      <c r="BB183" s="142"/>
      <c r="BC183" s="142"/>
      <c r="BD183" s="142"/>
      <c r="BE183" s="142"/>
      <c r="BF183" s="142"/>
      <c r="BG183" s="142"/>
      <c r="BH183" s="143"/>
    </row>
    <row r="184" spans="2:62" s="3" customFormat="1" ht="15" hidden="1" customHeight="1" outlineLevel="1" x14ac:dyDescent="0.2">
      <c r="B184" s="569">
        <v>24</v>
      </c>
      <c r="C184" s="570"/>
      <c r="D184" s="570"/>
      <c r="E184" s="570"/>
      <c r="F184" s="570"/>
      <c r="G184" s="570"/>
      <c r="H184" s="570"/>
      <c r="I184" s="570"/>
      <c r="J184" s="570"/>
      <c r="K184" s="570"/>
      <c r="L184" s="570"/>
      <c r="M184" s="571"/>
      <c r="N184" s="141"/>
      <c r="O184" s="142"/>
      <c r="P184" s="142"/>
      <c r="Q184" s="142"/>
      <c r="R184" s="142"/>
      <c r="S184" s="142"/>
      <c r="T184" s="142"/>
      <c r="U184" s="142"/>
      <c r="V184" s="142"/>
      <c r="W184" s="142"/>
      <c r="X184" s="143"/>
      <c r="Y184" s="141"/>
      <c r="Z184" s="142"/>
      <c r="AA184" s="142"/>
      <c r="AB184" s="142"/>
      <c r="AC184" s="142"/>
      <c r="AD184" s="142"/>
      <c r="AE184" s="142"/>
      <c r="AF184" s="142"/>
      <c r="AG184" s="142"/>
      <c r="AH184" s="143"/>
      <c r="AI184" s="141"/>
      <c r="AJ184" s="142"/>
      <c r="AK184" s="142"/>
      <c r="AL184" s="142"/>
      <c r="AM184" s="142"/>
      <c r="AN184" s="142"/>
      <c r="AO184" s="142"/>
      <c r="AP184" s="144"/>
      <c r="AQ184" s="141"/>
      <c r="AR184" s="142"/>
      <c r="AS184" s="142"/>
      <c r="AT184" s="142"/>
      <c r="AU184" s="142"/>
      <c r="AV184" s="142"/>
      <c r="AW184" s="142"/>
      <c r="AX184" s="142"/>
      <c r="AY184" s="142"/>
      <c r="AZ184" s="142"/>
      <c r="BA184" s="142"/>
      <c r="BB184" s="142"/>
      <c r="BC184" s="142"/>
      <c r="BD184" s="142"/>
      <c r="BE184" s="142"/>
      <c r="BF184" s="142"/>
      <c r="BG184" s="142"/>
      <c r="BH184" s="143"/>
    </row>
    <row r="185" spans="2:62" s="3" customFormat="1" ht="15" hidden="1" customHeight="1" outlineLevel="1" thickBot="1" x14ac:dyDescent="0.25">
      <c r="B185" s="572">
        <v>25</v>
      </c>
      <c r="C185" s="573"/>
      <c r="D185" s="573"/>
      <c r="E185" s="573"/>
      <c r="F185" s="573"/>
      <c r="G185" s="573"/>
      <c r="H185" s="573"/>
      <c r="I185" s="573"/>
      <c r="J185" s="573"/>
      <c r="K185" s="573"/>
      <c r="L185" s="573"/>
      <c r="M185" s="574"/>
      <c r="N185" s="145"/>
      <c r="O185" s="146"/>
      <c r="P185" s="146"/>
      <c r="Q185" s="146"/>
      <c r="R185" s="146"/>
      <c r="S185" s="146"/>
      <c r="T185" s="146"/>
      <c r="U185" s="146"/>
      <c r="V185" s="146"/>
      <c r="W185" s="146"/>
      <c r="X185" s="147"/>
      <c r="Y185" s="145"/>
      <c r="Z185" s="146"/>
      <c r="AA185" s="146"/>
      <c r="AB185" s="146"/>
      <c r="AC185" s="146"/>
      <c r="AD185" s="146"/>
      <c r="AE185" s="146"/>
      <c r="AF185" s="146"/>
      <c r="AG185" s="146"/>
      <c r="AH185" s="147"/>
      <c r="AI185" s="145"/>
      <c r="AJ185" s="146"/>
      <c r="AK185" s="146"/>
      <c r="AL185" s="146"/>
      <c r="AM185" s="146"/>
      <c r="AN185" s="146"/>
      <c r="AO185" s="146"/>
      <c r="AP185" s="148"/>
      <c r="AQ185" s="145"/>
      <c r="AR185" s="146"/>
      <c r="AS185" s="146"/>
      <c r="AT185" s="146"/>
      <c r="AU185" s="146"/>
      <c r="AV185" s="146"/>
      <c r="AW185" s="146"/>
      <c r="AX185" s="146"/>
      <c r="AY185" s="146"/>
      <c r="AZ185" s="146"/>
      <c r="BA185" s="146"/>
      <c r="BB185" s="146"/>
      <c r="BC185" s="146"/>
      <c r="BD185" s="146"/>
      <c r="BE185" s="146"/>
      <c r="BF185" s="146"/>
      <c r="BG185" s="146"/>
      <c r="BH185" s="147"/>
    </row>
    <row r="186" spans="2:62" s="152" customFormat="1" ht="39" hidden="1" customHeight="1" thickBot="1" x14ac:dyDescent="0.25">
      <c r="B186" s="149"/>
      <c r="C186" s="150"/>
      <c r="D186" s="150"/>
      <c r="E186" s="150"/>
      <c r="F186" s="150"/>
      <c r="G186" s="150"/>
      <c r="H186" s="150"/>
      <c r="I186" s="150"/>
      <c r="J186" s="150"/>
      <c r="K186" s="150"/>
      <c r="L186" s="150"/>
      <c r="M186" s="150"/>
      <c r="N186" s="150">
        <f t="shared" ref="N186:BH186" si="16">COUNT(N161:N185)</f>
        <v>0</v>
      </c>
      <c r="O186" s="150">
        <f t="shared" si="16"/>
        <v>0</v>
      </c>
      <c r="P186" s="150">
        <f t="shared" si="16"/>
        <v>0</v>
      </c>
      <c r="Q186" s="150">
        <f t="shared" si="16"/>
        <v>0</v>
      </c>
      <c r="R186" s="150">
        <f t="shared" si="16"/>
        <v>0</v>
      </c>
      <c r="S186" s="150">
        <f t="shared" si="16"/>
        <v>0</v>
      </c>
      <c r="T186" s="150">
        <f t="shared" si="16"/>
        <v>0</v>
      </c>
      <c r="U186" s="150">
        <f t="shared" si="16"/>
        <v>0</v>
      </c>
      <c r="V186" s="150">
        <f t="shared" si="16"/>
        <v>0</v>
      </c>
      <c r="W186" s="150">
        <f t="shared" si="16"/>
        <v>0</v>
      </c>
      <c r="X186" s="150">
        <f t="shared" si="16"/>
        <v>0</v>
      </c>
      <c r="Y186" s="150">
        <f t="shared" si="16"/>
        <v>0</v>
      </c>
      <c r="Z186" s="150">
        <f t="shared" si="16"/>
        <v>0</v>
      </c>
      <c r="AA186" s="150">
        <f t="shared" si="16"/>
        <v>0</v>
      </c>
      <c r="AB186" s="150">
        <f t="shared" si="16"/>
        <v>0</v>
      </c>
      <c r="AC186" s="150">
        <f t="shared" si="16"/>
        <v>0</v>
      </c>
      <c r="AD186" s="150">
        <f t="shared" si="16"/>
        <v>0</v>
      </c>
      <c r="AE186" s="150">
        <f t="shared" si="16"/>
        <v>0</v>
      </c>
      <c r="AF186" s="150">
        <f t="shared" si="16"/>
        <v>0</v>
      </c>
      <c r="AG186" s="150">
        <f t="shared" si="16"/>
        <v>0</v>
      </c>
      <c r="AH186" s="150">
        <f t="shared" si="16"/>
        <v>0</v>
      </c>
      <c r="AI186" s="150">
        <f t="shared" si="16"/>
        <v>0</v>
      </c>
      <c r="AJ186" s="150">
        <f t="shared" si="16"/>
        <v>0</v>
      </c>
      <c r="AK186" s="150">
        <f t="shared" si="16"/>
        <v>0</v>
      </c>
      <c r="AL186" s="150">
        <f t="shared" si="16"/>
        <v>0</v>
      </c>
      <c r="AM186" s="150">
        <f t="shared" si="16"/>
        <v>0</v>
      </c>
      <c r="AN186" s="150">
        <f t="shared" si="16"/>
        <v>0</v>
      </c>
      <c r="AO186" s="150">
        <f t="shared" si="16"/>
        <v>0</v>
      </c>
      <c r="AP186" s="150">
        <f t="shared" si="16"/>
        <v>0</v>
      </c>
      <c r="AQ186" s="149">
        <f t="shared" si="16"/>
        <v>0</v>
      </c>
      <c r="AR186" s="150">
        <f t="shared" si="16"/>
        <v>0</v>
      </c>
      <c r="AS186" s="150">
        <f t="shared" si="16"/>
        <v>0</v>
      </c>
      <c r="AT186" s="150">
        <f t="shared" si="16"/>
        <v>0</v>
      </c>
      <c r="AU186" s="150">
        <f t="shared" si="16"/>
        <v>0</v>
      </c>
      <c r="AV186" s="150">
        <f t="shared" si="16"/>
        <v>0</v>
      </c>
      <c r="AW186" s="150">
        <f t="shared" si="16"/>
        <v>0</v>
      </c>
      <c r="AX186" s="150">
        <f t="shared" si="16"/>
        <v>0</v>
      </c>
      <c r="AY186" s="150">
        <f t="shared" si="16"/>
        <v>0</v>
      </c>
      <c r="AZ186" s="150">
        <f t="shared" si="16"/>
        <v>0</v>
      </c>
      <c r="BA186" s="150">
        <f t="shared" si="16"/>
        <v>0</v>
      </c>
      <c r="BB186" s="150">
        <f t="shared" si="16"/>
        <v>0</v>
      </c>
      <c r="BC186" s="150">
        <f t="shared" si="16"/>
        <v>0</v>
      </c>
      <c r="BD186" s="150">
        <f t="shared" si="16"/>
        <v>0</v>
      </c>
      <c r="BE186" s="150">
        <f t="shared" si="16"/>
        <v>0</v>
      </c>
      <c r="BF186" s="150">
        <f t="shared" si="16"/>
        <v>0</v>
      </c>
      <c r="BG186" s="150">
        <f t="shared" si="16"/>
        <v>0</v>
      </c>
      <c r="BH186" s="151">
        <f t="shared" si="16"/>
        <v>0</v>
      </c>
    </row>
    <row r="187" spans="2:62" s="84" customFormat="1" ht="15" customHeight="1" thickBot="1" x14ac:dyDescent="0.25">
      <c r="B187" s="575" t="s">
        <v>141</v>
      </c>
      <c r="C187" s="576"/>
      <c r="D187" s="576"/>
      <c r="E187" s="576"/>
      <c r="F187" s="576"/>
      <c r="G187" s="576"/>
      <c r="H187" s="576"/>
      <c r="I187" s="576"/>
      <c r="J187" s="576"/>
      <c r="K187" s="576"/>
      <c r="L187" s="576"/>
      <c r="M187" s="577"/>
      <c r="N187" s="153">
        <f t="shared" ref="N187:BH187" si="17">N148+N67+N40+N13+N94+N160+N121</f>
        <v>8550</v>
      </c>
      <c r="O187" s="154">
        <f t="shared" si="17"/>
        <v>6753</v>
      </c>
      <c r="P187" s="154">
        <f t="shared" si="17"/>
        <v>8007</v>
      </c>
      <c r="Q187" s="154">
        <f t="shared" si="17"/>
        <v>6263</v>
      </c>
      <c r="R187" s="154">
        <f t="shared" si="17"/>
        <v>8813</v>
      </c>
      <c r="S187" s="154">
        <f t="shared" si="17"/>
        <v>7773</v>
      </c>
      <c r="T187" s="154">
        <f t="shared" si="17"/>
        <v>6492</v>
      </c>
      <c r="U187" s="154">
        <f t="shared" si="17"/>
        <v>9127</v>
      </c>
      <c r="V187" s="154">
        <f t="shared" si="17"/>
        <v>7445</v>
      </c>
      <c r="W187" s="154">
        <f t="shared" si="17"/>
        <v>6989</v>
      </c>
      <c r="X187" s="155">
        <f t="shared" si="17"/>
        <v>5636</v>
      </c>
      <c r="Y187" s="153">
        <f t="shared" si="17"/>
        <v>5212</v>
      </c>
      <c r="Z187" s="154">
        <f t="shared" si="17"/>
        <v>3041</v>
      </c>
      <c r="AA187" s="154">
        <f t="shared" si="17"/>
        <v>8664</v>
      </c>
      <c r="AB187" s="154">
        <f t="shared" si="17"/>
        <v>10828</v>
      </c>
      <c r="AC187" s="154">
        <f t="shared" si="17"/>
        <v>8213</v>
      </c>
      <c r="AD187" s="154">
        <f t="shared" si="17"/>
        <v>10706</v>
      </c>
      <c r="AE187" s="154">
        <f t="shared" si="17"/>
        <v>11480</v>
      </c>
      <c r="AF187" s="154">
        <f t="shared" si="17"/>
        <v>6547</v>
      </c>
      <c r="AG187" s="154">
        <f t="shared" si="17"/>
        <v>7616</v>
      </c>
      <c r="AH187" s="155">
        <f t="shared" si="17"/>
        <v>11006</v>
      </c>
      <c r="AI187" s="153">
        <f t="shared" si="17"/>
        <v>3417</v>
      </c>
      <c r="AJ187" s="154">
        <f t="shared" si="17"/>
        <v>8788</v>
      </c>
      <c r="AK187" s="154">
        <f t="shared" si="17"/>
        <v>6391</v>
      </c>
      <c r="AL187" s="154">
        <f t="shared" si="17"/>
        <v>6130</v>
      </c>
      <c r="AM187" s="154">
        <f t="shared" si="17"/>
        <v>1338</v>
      </c>
      <c r="AN187" s="154">
        <f t="shared" si="17"/>
        <v>6711</v>
      </c>
      <c r="AO187" s="154">
        <f t="shared" si="17"/>
        <v>7030</v>
      </c>
      <c r="AP187" s="156">
        <f t="shared" si="17"/>
        <v>8176</v>
      </c>
      <c r="AQ187" s="153">
        <f t="shared" si="17"/>
        <v>6297</v>
      </c>
      <c r="AR187" s="154">
        <f t="shared" si="17"/>
        <v>8121</v>
      </c>
      <c r="AS187" s="154">
        <f t="shared" si="17"/>
        <v>8804</v>
      </c>
      <c r="AT187" s="154">
        <f t="shared" si="17"/>
        <v>9049</v>
      </c>
      <c r="AU187" s="154">
        <f t="shared" si="17"/>
        <v>10102</v>
      </c>
      <c r="AV187" s="154">
        <f t="shared" si="17"/>
        <v>7749</v>
      </c>
      <c r="AW187" s="154">
        <f t="shared" si="17"/>
        <v>9627</v>
      </c>
      <c r="AX187" s="154">
        <f t="shared" si="17"/>
        <v>7137</v>
      </c>
      <c r="AY187" s="154">
        <f t="shared" si="17"/>
        <v>6082</v>
      </c>
      <c r="AZ187" s="154">
        <f t="shared" si="17"/>
        <v>11161</v>
      </c>
      <c r="BA187" s="154">
        <f t="shared" si="17"/>
        <v>0</v>
      </c>
      <c r="BB187" s="154">
        <f t="shared" si="17"/>
        <v>8387</v>
      </c>
      <c r="BC187" s="154">
        <f t="shared" si="17"/>
        <v>6388</v>
      </c>
      <c r="BD187" s="154">
        <f t="shared" si="17"/>
        <v>6266</v>
      </c>
      <c r="BE187" s="154">
        <f t="shared" si="17"/>
        <v>9411</v>
      </c>
      <c r="BF187" s="154">
        <f t="shared" si="17"/>
        <v>0</v>
      </c>
      <c r="BG187" s="154">
        <f t="shared" si="17"/>
        <v>11663</v>
      </c>
      <c r="BH187" s="155">
        <f t="shared" si="17"/>
        <v>0</v>
      </c>
      <c r="BJ187" s="157"/>
    </row>
    <row r="188" spans="2:62" s="152" customFormat="1" ht="3" customHeight="1" thickBot="1" x14ac:dyDescent="0.25">
      <c r="B188" s="149"/>
      <c r="C188" s="150"/>
      <c r="D188" s="150"/>
      <c r="E188" s="150"/>
      <c r="F188" s="150"/>
      <c r="G188" s="150"/>
      <c r="H188" s="150"/>
      <c r="I188" s="150"/>
      <c r="J188" s="150"/>
      <c r="K188" s="150"/>
      <c r="L188" s="150"/>
      <c r="M188" s="150"/>
      <c r="N188" s="158"/>
      <c r="O188" s="158"/>
      <c r="P188" s="158"/>
      <c r="Q188" s="158"/>
      <c r="R188" s="158"/>
      <c r="S188" s="158"/>
      <c r="T188" s="158"/>
      <c r="U188" s="158"/>
      <c r="V188" s="158"/>
      <c r="W188" s="158"/>
      <c r="X188" s="158"/>
      <c r="Y188" s="158"/>
      <c r="Z188" s="158"/>
      <c r="AA188" s="158"/>
      <c r="AB188" s="158"/>
      <c r="AC188" s="158"/>
      <c r="AD188" s="158"/>
      <c r="AE188" s="158"/>
      <c r="AF188" s="158"/>
      <c r="AG188" s="158"/>
      <c r="AH188" s="158"/>
      <c r="AI188" s="158"/>
      <c r="AJ188" s="158"/>
      <c r="AK188" s="158"/>
      <c r="AL188" s="158"/>
      <c r="AM188" s="158"/>
      <c r="AN188" s="158"/>
      <c r="AO188" s="158"/>
      <c r="AP188" s="158"/>
      <c r="AQ188" s="159"/>
      <c r="AR188" s="158"/>
      <c r="AS188" s="158"/>
      <c r="AT188" s="158"/>
      <c r="AU188" s="158"/>
      <c r="AV188" s="158"/>
      <c r="AW188" s="158"/>
      <c r="AX188" s="158"/>
      <c r="AY188" s="158"/>
      <c r="AZ188" s="158"/>
      <c r="BA188" s="158"/>
      <c r="BB188" s="158"/>
      <c r="BC188" s="158"/>
      <c r="BD188" s="158"/>
      <c r="BE188" s="158"/>
      <c r="BF188" s="158"/>
      <c r="BG188" s="158"/>
      <c r="BH188" s="160"/>
      <c r="BI188" s="161"/>
      <c r="BJ188" s="162"/>
    </row>
    <row r="189" spans="2:62" s="168" customFormat="1" ht="15" customHeight="1" x14ac:dyDescent="0.2">
      <c r="B189" s="578" t="s">
        <v>142</v>
      </c>
      <c r="C189" s="579"/>
      <c r="D189" s="579"/>
      <c r="E189" s="580"/>
      <c r="F189" s="587" t="s">
        <v>143</v>
      </c>
      <c r="G189" s="588"/>
      <c r="H189" s="588"/>
      <c r="I189" s="588"/>
      <c r="J189" s="588"/>
      <c r="K189" s="588"/>
      <c r="L189" s="588"/>
      <c r="M189" s="588"/>
      <c r="N189" s="163">
        <f>COUNT(N14:N38)+COUNT(N41:N65)+COUNT(N68:N92)+COUNT(N95:N119)+COUNT(N149:N158)+COUNT(#REF!)+COUNT(N122:N146)+N186</f>
        <v>20</v>
      </c>
      <c r="O189" s="164">
        <f>COUNT(O14:O38)+COUNT(O41:O65)+COUNT(O68:O92)+COUNT(O95:O119)+COUNT(O149:O158)+COUNT(#REF!)+COUNT(O122:O146)+O186</f>
        <v>15</v>
      </c>
      <c r="P189" s="164">
        <f>COUNT(P14:P38)+COUNT(P41:P65)+COUNT(P68:P92)+COUNT(P95:P119)+COUNT(P149:P158)+COUNT(#REF!)+COUNT(P122:P146)+P186</f>
        <v>18</v>
      </c>
      <c r="Q189" s="164">
        <f>COUNT(Q14:Q38)+COUNT(Q41:Q65)+COUNT(Q68:Q92)+COUNT(Q95:Q119)+COUNT(Q149:Q158)+COUNT(#REF!)+COUNT(Q122:Q146)+Q186</f>
        <v>11</v>
      </c>
      <c r="R189" s="164">
        <f>COUNT(R14:R38)+COUNT(R41:R65)+COUNT(R68:R92)+COUNT(R95:R119)+COUNT(R149:R158)+COUNT(#REF!)+COUNT(R122:R146)+R186</f>
        <v>16</v>
      </c>
      <c r="S189" s="164">
        <f>COUNT(S14:S38)+COUNT(S41:S65)+COUNT(S68:S92)+COUNT(S95:S119)+COUNT(S149:S158)+COUNT(#REF!)+COUNT(S122:S146)+S186</f>
        <v>15</v>
      </c>
      <c r="T189" s="164">
        <f>COUNT(T14:T38)+COUNT(T41:T65)+COUNT(T68:T92)+COUNT(T95:T119)+COUNT(T149:T158)+COUNT(#REF!)+COUNT(T122:T146)+T186</f>
        <v>15</v>
      </c>
      <c r="U189" s="164">
        <f>COUNT(U14:U38)+COUNT(U41:U65)+COUNT(U68:U92)+COUNT(U95:U119)+COUNT(U149:U158)+COUNT(#REF!)+COUNT(U122:U146)+U186</f>
        <v>20</v>
      </c>
      <c r="V189" s="164">
        <f>COUNT(V14:V38)+COUNT(V41:V65)+COUNT(V68:V92)+COUNT(V95:V119)+COUNT(V149:V158)+COUNT(#REF!)+COUNT(V122:V146)+V186</f>
        <v>20</v>
      </c>
      <c r="W189" s="164">
        <f>COUNT(W14:W38)+COUNT(W41:W65)+COUNT(W68:W92)+COUNT(W95:W119)+COUNT(W149:W158)+COUNT(#REF!)+COUNT(W122:W146)+W186</f>
        <v>12</v>
      </c>
      <c r="X189" s="165">
        <f>COUNT(X14:X38)+COUNT(X41:X65)+COUNT(X68:X92)+COUNT(X95:X119)+COUNT(X149:X158)+COUNT(#REF!)+COUNT(X122:X146)+X186</f>
        <v>11</v>
      </c>
      <c r="Y189" s="163">
        <f>COUNT(Y14:Y38)+COUNT(Y41:Y65)+COUNT(Y68:Y92)+COUNT(Y95:Y119)+COUNT(Y149:Y158)+COUNT(#REF!)+COUNT(Y122:Y146)+Y186</f>
        <v>12</v>
      </c>
      <c r="Z189" s="164">
        <f>COUNT(Z14:Z38)+COUNT(Z41:Z65)+COUNT(Z68:Z92)+COUNT(Z95:Z119)+COUNT(Z149:Z158)+COUNT(#REF!)+COUNT(Z122:Z146)+Z186</f>
        <v>8</v>
      </c>
      <c r="AA189" s="164">
        <f>COUNT(AA14:AA38)+COUNT(AA41:AA65)+COUNT(AA68:AA92)+COUNT(AA95:AA119)+COUNT(AA149:AA158)+COUNT(#REF!)+COUNT(AA122:AA146)+AA186</f>
        <v>14</v>
      </c>
      <c r="AB189" s="164">
        <f>COUNT(AB14:AB38)+COUNT(AB41:AB65)+COUNT(AB68:AB92)+COUNT(AB95:AB119)+COUNT(AB149:AB158)+COUNT(#REF!)+COUNT(AB122:AB146)+AB186</f>
        <v>20</v>
      </c>
      <c r="AC189" s="164">
        <f>COUNT(AC14:AC38)+COUNT(AC41:AC65)+COUNT(AC68:AC92)+COUNT(AC95:AC119)+COUNT(AC149:AC158)+COUNT(#REF!)+COUNT(AC122:AC146)+AC186</f>
        <v>18</v>
      </c>
      <c r="AD189" s="164">
        <f>COUNT(AD14:AD38)+COUNT(AD41:AD65)+COUNT(AD68:AD92)+COUNT(AD95:AD119)+COUNT(AD149:AD158)+COUNT(#REF!)+COUNT(AD122:AD146)+AD186</f>
        <v>24</v>
      </c>
      <c r="AE189" s="164">
        <f>COUNT(AE14:AE38)+COUNT(AE41:AE65)+COUNT(AE68:AE92)+COUNT(AE95:AE119)+COUNT(AE149:AE158)+COUNT(#REF!)+COUNT(AE122:AE146)+AE186</f>
        <v>17</v>
      </c>
      <c r="AF189" s="164">
        <f>COUNT(AF14:AF38)+COUNT(AF41:AF65)+COUNT(AF68:AF92)+COUNT(AF95:AF119)+COUNT(AF149:AF158)+COUNT(#REF!)+COUNT(AF122:AF146)+AF186</f>
        <v>14</v>
      </c>
      <c r="AG189" s="164">
        <f>COUNT(AG14:AG38)+COUNT(AG41:AG65)+COUNT(AG68:AG92)+COUNT(AG95:AG119)+COUNT(AG149:AG158)+COUNT(#REF!)+COUNT(AG122:AG146)+AG186</f>
        <v>16</v>
      </c>
      <c r="AH189" s="165">
        <f>COUNT(AH14:AH38)+COUNT(AH41:AH65)+COUNT(AH68:AH92)+COUNT(AH95:AH119)+COUNT(AH149:AH158)+COUNT(#REF!)+COUNT(AH122:AH146)+AH186</f>
        <v>15</v>
      </c>
      <c r="AI189" s="163">
        <f>COUNT(AI14:AI38)+COUNT(AI41:AI65)+COUNT(AI68:AI92)+COUNT(AI95:AI119)+COUNT(AI149:AI158)+COUNT(#REF!)+COUNT(AI122:AI146)+AI186</f>
        <v>9</v>
      </c>
      <c r="AJ189" s="164">
        <f>COUNT(AJ14:AJ38)+COUNT(AJ41:AJ65)+COUNT(AJ68:AJ92)+COUNT(AJ95:AJ119)+COUNT(AJ149:AJ158)+COUNT(#REF!)+COUNT(AJ122:AJ146)+AJ186</f>
        <v>19</v>
      </c>
      <c r="AK189" s="164">
        <f>COUNT(AK14:AK38)+COUNT(AK41:AK65)+COUNT(AK68:AK92)+COUNT(AK95:AK119)+COUNT(AK149:AK158)+COUNT(#REF!)+COUNT(AK122:AK146)+AK186</f>
        <v>17</v>
      </c>
      <c r="AL189" s="164">
        <f>COUNT(AL14:AL38)+COUNT(AL41:AL65)+COUNT(AL68:AL92)+COUNT(AL95:AL119)+COUNT(AL149:AL158)+COUNT(#REF!)+COUNT(AL122:AL146)+AL186</f>
        <v>14</v>
      </c>
      <c r="AM189" s="164">
        <f>COUNT(AM14:AM38)+COUNT(AM41:AM65)+COUNT(AM68:AM92)+COUNT(AM95:AM119)+COUNT(AM149:AM158)+COUNT(#REF!)+COUNT(AM122:AM146)+AM186</f>
        <v>3</v>
      </c>
      <c r="AN189" s="164">
        <f>COUNT(AN14:AN38)+COUNT(AN41:AN65)+COUNT(AN68:AN92)+COUNT(AN95:AN119)+COUNT(AN149:AN158)+COUNT(#REF!)+COUNT(AN122:AN146)+AN186</f>
        <v>14</v>
      </c>
      <c r="AO189" s="164">
        <f>COUNT(AO14:AO38)+COUNT(AO41:AO65)+COUNT(AO68:AO92)+COUNT(AO95:AO119)+COUNT(AO149:AO158)+COUNT(#REF!)+COUNT(AO122:AO146)+AO186</f>
        <v>15</v>
      </c>
      <c r="AP189" s="166">
        <f>COUNT(AP14:AP38)+COUNT(AP41:AP65)+COUNT(AP68:AP92)+COUNT(AP95:AP119)+COUNT(AP149:AP158)+COUNT(#REF!)+COUNT(AP122:AP146)+AP186</f>
        <v>20</v>
      </c>
      <c r="AQ189" s="163">
        <f>COUNT(AQ14:AQ38)+COUNT(AQ41:AQ65)+COUNT(AQ68:AQ92)+COUNT(AQ95:AQ119)+COUNT(AQ149:AQ158)+COUNT(#REF!)+COUNT(AQ122:AQ146)+AQ186</f>
        <v>9</v>
      </c>
      <c r="AR189" s="164">
        <f>COUNT(AR14:AR38)+COUNT(AR41:AR65)+COUNT(AR68:AR92)+COUNT(AR95:AR119)+COUNT(AR149:AR158)+COUNT(#REF!)+COUNT(AR122:AR146)+AR186</f>
        <v>20</v>
      </c>
      <c r="AS189" s="164">
        <f>COUNT(AS14:AS38)+COUNT(AS41:AS65)+COUNT(AS68:AS92)+COUNT(AS95:AS119)+COUNT(AS149:AS158)+COUNT(#REF!)+COUNT(AS122:AS146)+AS186</f>
        <v>16</v>
      </c>
      <c r="AT189" s="164">
        <f>COUNT(AT14:AT38)+COUNT(AT41:AT65)+COUNT(AT68:AT92)+COUNT(AT95:AT119)+COUNT(AT149:AT158)+COUNT(#REF!)+COUNT(AT122:AT146)+AT186</f>
        <v>20</v>
      </c>
      <c r="AU189" s="164">
        <f>COUNT(AU14:AU38)+COUNT(AU41:AU65)+COUNT(AU68:AU92)+COUNT(AU95:AU119)+COUNT(AU149:AU158)+COUNT(#REF!)+COUNT(AU122:AU146)+AU186</f>
        <v>24</v>
      </c>
      <c r="AV189" s="164">
        <f>COUNT(AV14:AV38)+COUNT(AV41:AV65)+COUNT(AV68:AV92)+COUNT(AV95:AV119)+COUNT(AV149:AV158)+COUNT(#REF!)+COUNT(AV122:AV146)+AV186</f>
        <v>16</v>
      </c>
      <c r="AW189" s="164">
        <f>COUNT(AW14:AW38)+COUNT(AW41:AW65)+COUNT(AW68:AW92)+COUNT(AW95:AW119)+COUNT(AW149:AW158)+COUNT(#REF!)+COUNT(AW122:AW146)+AW186</f>
        <v>20</v>
      </c>
      <c r="AX189" s="164">
        <f>COUNT(AX14:AX38)+COUNT(AX41:AX65)+COUNT(AX68:AX92)+COUNT(AX95:AX119)+COUNT(AX149:AX158)+COUNT(#REF!)+COUNT(AX122:AX146)+AX186</f>
        <v>20</v>
      </c>
      <c r="AY189" s="164">
        <f>COUNT(AY14:AY38)+COUNT(AY41:AY65)+COUNT(AY68:AY92)+COUNT(AY95:AY119)+COUNT(AY149:AY158)+COUNT(#REF!)+COUNT(AY122:AY146)+AY186</f>
        <v>13</v>
      </c>
      <c r="AZ189" s="164">
        <f>COUNT(AZ14:AZ38)+COUNT(AZ41:AZ65)+COUNT(AZ68:AZ92)+COUNT(AZ95:AZ119)+COUNT(AZ149:AZ158)+COUNT(#REF!)+COUNT(AZ122:AZ146)+AZ186</f>
        <v>21</v>
      </c>
      <c r="BA189" s="164">
        <f>COUNT(BA14:BA38)+COUNT(BA41:BA65)+COUNT(BA68:BA92)+COUNT(BA95:BA119)+COUNT(BA149:BA158)+COUNT(#REF!)+COUNT(BA122:BA146)+BA186</f>
        <v>0</v>
      </c>
      <c r="BB189" s="164">
        <f>COUNT(BB14:BB38)+COUNT(BB41:BB65)+COUNT(BB68:BB92)+COUNT(BB95:BB119)+COUNT(BB149:BB158)+COUNT(#REF!)+COUNT(BB122:BB146)+BB186</f>
        <v>19</v>
      </c>
      <c r="BC189" s="164">
        <f>COUNT(BC14:BC38)+COUNT(BC41:BC65)+COUNT(BC68:BC92)+COUNT(BC95:BC119)+COUNT(BC149:BC158)+COUNT(#REF!)+COUNT(BC122:BC146)+BC186</f>
        <v>14</v>
      </c>
      <c r="BD189" s="164">
        <f>COUNT(BD14:BD38)+COUNT(BD41:BD65)+COUNT(BD68:BD92)+COUNT(BD95:BD119)+COUNT(BD149:BD158)+COUNT(#REF!)+COUNT(BD122:BD146)+BD186</f>
        <v>13</v>
      </c>
      <c r="BE189" s="164">
        <f>COUNT(BE14:BE38)+COUNT(BE41:BE65)+COUNT(BE68:BE92)+COUNT(BE95:BE119)+COUNT(BE149:BE158)+COUNT(#REF!)+COUNT(BE122:BE146)+BE186</f>
        <v>18</v>
      </c>
      <c r="BF189" s="164">
        <f>COUNT(BF14:BF38)+COUNT(BF41:BF65)+COUNT(BF68:BF92)+COUNT(BF95:BF119)+COUNT(BF149:BF158)+COUNT(#REF!)+COUNT(BF122:BF146)+BF186</f>
        <v>0</v>
      </c>
      <c r="BG189" s="164">
        <f>COUNT(BG14:BG38)+COUNT(BG41:BG65)+COUNT(BG68:BG92)+COUNT(BG95:BG119)+COUNT(BG149:BG158)+COUNT(#REF!)+COUNT(BG122:BG146)+BG186</f>
        <v>26</v>
      </c>
      <c r="BH189" s="165">
        <f>COUNT(BH14:BH38)+COUNT(BH41:BH65)+COUNT(BH68:BH92)+COUNT(BH95:BH119)+COUNT(BH149:BH158)+COUNT(#REF!)+COUNT(BH122:BH146)+BH186</f>
        <v>0</v>
      </c>
      <c r="BI189" s="167"/>
      <c r="BJ189" s="157"/>
    </row>
    <row r="190" spans="2:62" s="175" customFormat="1" ht="15" customHeight="1" x14ac:dyDescent="0.2">
      <c r="B190" s="581"/>
      <c r="C190" s="582"/>
      <c r="D190" s="582"/>
      <c r="E190" s="583"/>
      <c r="F190" s="589" t="s">
        <v>144</v>
      </c>
      <c r="G190" s="590"/>
      <c r="H190" s="590"/>
      <c r="I190" s="590"/>
      <c r="J190" s="590"/>
      <c r="K190" s="590"/>
      <c r="L190" s="590"/>
      <c r="M190" s="590"/>
      <c r="N190" s="169" t="s">
        <v>145</v>
      </c>
      <c r="O190" s="170" t="s">
        <v>145</v>
      </c>
      <c r="P190" s="170" t="s">
        <v>145</v>
      </c>
      <c r="Q190" s="170" t="s">
        <v>145</v>
      </c>
      <c r="R190" s="170" t="s">
        <v>145</v>
      </c>
      <c r="S190" s="170" t="s">
        <v>145</v>
      </c>
      <c r="T190" s="170" t="s">
        <v>145</v>
      </c>
      <c r="U190" s="170" t="s">
        <v>145</v>
      </c>
      <c r="V190" s="170" t="s">
        <v>145</v>
      </c>
      <c r="W190" s="170" t="s">
        <v>145</v>
      </c>
      <c r="X190" s="171" t="s">
        <v>145</v>
      </c>
      <c r="Y190" s="172" t="s">
        <v>145</v>
      </c>
      <c r="Z190" s="170" t="s">
        <v>145</v>
      </c>
      <c r="AA190" s="170" t="s">
        <v>145</v>
      </c>
      <c r="AB190" s="170" t="s">
        <v>145</v>
      </c>
      <c r="AC190" s="170" t="s">
        <v>145</v>
      </c>
      <c r="AD190" s="170" t="s">
        <v>145</v>
      </c>
      <c r="AE190" s="170" t="s">
        <v>145</v>
      </c>
      <c r="AF190" s="170" t="s">
        <v>145</v>
      </c>
      <c r="AG190" s="170" t="s">
        <v>145</v>
      </c>
      <c r="AH190" s="171" t="s">
        <v>145</v>
      </c>
      <c r="AI190" s="169" t="s">
        <v>145</v>
      </c>
      <c r="AJ190" s="170" t="s">
        <v>145</v>
      </c>
      <c r="AK190" s="170" t="s">
        <v>145</v>
      </c>
      <c r="AL190" s="170" t="s">
        <v>145</v>
      </c>
      <c r="AM190" s="170" t="s">
        <v>145</v>
      </c>
      <c r="AN190" s="170" t="s">
        <v>145</v>
      </c>
      <c r="AO190" s="170" t="s">
        <v>145</v>
      </c>
      <c r="AP190" s="173" t="s">
        <v>145</v>
      </c>
      <c r="AQ190" s="172" t="s">
        <v>145</v>
      </c>
      <c r="AR190" s="170" t="s">
        <v>145</v>
      </c>
      <c r="AS190" s="170" t="s">
        <v>145</v>
      </c>
      <c r="AT190" s="170" t="s">
        <v>145</v>
      </c>
      <c r="AU190" s="170" t="s">
        <v>145</v>
      </c>
      <c r="AV190" s="170" t="s">
        <v>145</v>
      </c>
      <c r="AW190" s="170" t="s">
        <v>145</v>
      </c>
      <c r="AX190" s="170" t="s">
        <v>145</v>
      </c>
      <c r="AY190" s="170" t="s">
        <v>145</v>
      </c>
      <c r="AZ190" s="170" t="s">
        <v>145</v>
      </c>
      <c r="BA190" s="170" t="s">
        <v>145</v>
      </c>
      <c r="BB190" s="170" t="s">
        <v>145</v>
      </c>
      <c r="BC190" s="170" t="s">
        <v>145</v>
      </c>
      <c r="BD190" s="170" t="s">
        <v>145</v>
      </c>
      <c r="BE190" s="170" t="s">
        <v>145</v>
      </c>
      <c r="BF190" s="170" t="s">
        <v>145</v>
      </c>
      <c r="BG190" s="170" t="s">
        <v>145</v>
      </c>
      <c r="BH190" s="171" t="s">
        <v>145</v>
      </c>
      <c r="BI190" s="174"/>
      <c r="BJ190" s="157"/>
    </row>
    <row r="191" spans="2:62" s="180" customFormat="1" ht="15" customHeight="1" thickBot="1" x14ac:dyDescent="0.25">
      <c r="B191" s="584"/>
      <c r="C191" s="585"/>
      <c r="D191" s="585"/>
      <c r="E191" s="586"/>
      <c r="F191" s="591" t="s">
        <v>146</v>
      </c>
      <c r="G191" s="592"/>
      <c r="H191" s="592"/>
      <c r="I191" s="592"/>
      <c r="J191" s="592"/>
      <c r="K191" s="592"/>
      <c r="L191" s="592"/>
      <c r="M191" s="592"/>
      <c r="N191" s="176"/>
      <c r="O191" s="177"/>
      <c r="P191" s="177"/>
      <c r="Q191" s="177"/>
      <c r="R191" s="177"/>
      <c r="S191" s="177"/>
      <c r="T191" s="177"/>
      <c r="U191" s="177"/>
      <c r="V191" s="177"/>
      <c r="W191" s="177"/>
      <c r="X191" s="178"/>
      <c r="Y191" s="176"/>
      <c r="Z191" s="177"/>
      <c r="AA191" s="177"/>
      <c r="AB191" s="177"/>
      <c r="AC191" s="177"/>
      <c r="AD191" s="177"/>
      <c r="AE191" s="177"/>
      <c r="AF191" s="177"/>
      <c r="AG191" s="177"/>
      <c r="AH191" s="178"/>
      <c r="AI191" s="176"/>
      <c r="AJ191" s="177"/>
      <c r="AK191" s="177"/>
      <c r="AL191" s="177"/>
      <c r="AM191" s="177"/>
      <c r="AN191" s="177"/>
      <c r="AO191" s="177"/>
      <c r="AP191" s="179"/>
      <c r="AQ191" s="176"/>
      <c r="AR191" s="177"/>
      <c r="AS191" s="177"/>
      <c r="AT191" s="177"/>
      <c r="AU191" s="177"/>
      <c r="AV191" s="177"/>
      <c r="AW191" s="177"/>
      <c r="AX191" s="177"/>
      <c r="AY191" s="177"/>
      <c r="AZ191" s="177"/>
      <c r="BA191" s="177"/>
      <c r="BB191" s="177"/>
      <c r="BC191" s="177"/>
      <c r="BD191" s="177"/>
      <c r="BE191" s="177"/>
      <c r="BF191" s="177"/>
      <c r="BG191" s="177"/>
      <c r="BH191" s="178"/>
      <c r="BJ191" s="157"/>
    </row>
    <row r="192" spans="2:62" s="61" customFormat="1" ht="15" hidden="1" customHeight="1" x14ac:dyDescent="0.2">
      <c r="B192" s="181"/>
      <c r="C192" s="181"/>
      <c r="D192" s="181"/>
      <c r="E192" s="181"/>
      <c r="F192" s="548" t="s">
        <v>147</v>
      </c>
      <c r="G192" s="548"/>
      <c r="H192" s="548"/>
      <c r="I192" s="548"/>
      <c r="J192" s="548"/>
      <c r="K192" s="548"/>
      <c r="L192" s="548"/>
      <c r="M192" s="548"/>
      <c r="N192" s="182">
        <f t="shared" ref="N192:BH192" si="18">N191*0.4</f>
        <v>0</v>
      </c>
      <c r="O192" s="182">
        <f t="shared" si="18"/>
        <v>0</v>
      </c>
      <c r="P192" s="182">
        <f t="shared" si="18"/>
        <v>0</v>
      </c>
      <c r="Q192" s="183">
        <f t="shared" si="18"/>
        <v>0</v>
      </c>
      <c r="R192" s="183">
        <f t="shared" si="18"/>
        <v>0</v>
      </c>
      <c r="S192" s="183">
        <f t="shared" si="18"/>
        <v>0</v>
      </c>
      <c r="T192" s="183">
        <f t="shared" si="18"/>
        <v>0</v>
      </c>
      <c r="U192" s="184">
        <f t="shared" si="18"/>
        <v>0</v>
      </c>
      <c r="V192" s="184">
        <f t="shared" si="18"/>
        <v>0</v>
      </c>
      <c r="W192" s="184">
        <f t="shared" si="18"/>
        <v>0</v>
      </c>
      <c r="X192" s="184">
        <f t="shared" si="18"/>
        <v>0</v>
      </c>
      <c r="Y192" s="184">
        <f t="shared" si="18"/>
        <v>0</v>
      </c>
      <c r="Z192" s="184">
        <f t="shared" si="18"/>
        <v>0</v>
      </c>
      <c r="AA192" s="184">
        <f t="shared" si="18"/>
        <v>0</v>
      </c>
      <c r="AB192" s="184">
        <f t="shared" si="18"/>
        <v>0</v>
      </c>
      <c r="AC192" s="184">
        <f t="shared" si="18"/>
        <v>0</v>
      </c>
      <c r="AD192" s="184">
        <f t="shared" si="18"/>
        <v>0</v>
      </c>
      <c r="AE192" s="184">
        <f t="shared" si="18"/>
        <v>0</v>
      </c>
      <c r="AF192" s="184">
        <f t="shared" si="18"/>
        <v>0</v>
      </c>
      <c r="AG192" s="184">
        <f t="shared" si="18"/>
        <v>0</v>
      </c>
      <c r="AH192" s="184">
        <f t="shared" si="18"/>
        <v>0</v>
      </c>
      <c r="AI192" s="182">
        <f t="shared" si="18"/>
        <v>0</v>
      </c>
      <c r="AJ192" s="182">
        <f t="shared" si="18"/>
        <v>0</v>
      </c>
      <c r="AK192" s="182">
        <f t="shared" si="18"/>
        <v>0</v>
      </c>
      <c r="AL192" s="183">
        <f t="shared" si="18"/>
        <v>0</v>
      </c>
      <c r="AM192" s="184">
        <f t="shared" si="18"/>
        <v>0</v>
      </c>
      <c r="AN192" s="184">
        <f t="shared" si="18"/>
        <v>0</v>
      </c>
      <c r="AO192" s="184">
        <f t="shared" si="18"/>
        <v>0</v>
      </c>
      <c r="AP192" s="184">
        <f t="shared" si="18"/>
        <v>0</v>
      </c>
      <c r="AQ192" s="185">
        <f t="shared" si="18"/>
        <v>0</v>
      </c>
      <c r="AR192" s="184">
        <f t="shared" si="18"/>
        <v>0</v>
      </c>
      <c r="AS192" s="184">
        <f t="shared" si="18"/>
        <v>0</v>
      </c>
      <c r="AT192" s="184">
        <f t="shared" si="18"/>
        <v>0</v>
      </c>
      <c r="AU192" s="184">
        <f t="shared" si="18"/>
        <v>0</v>
      </c>
      <c r="AV192" s="184">
        <f t="shared" si="18"/>
        <v>0</v>
      </c>
      <c r="AW192" s="184">
        <f t="shared" si="18"/>
        <v>0</v>
      </c>
      <c r="AX192" s="184">
        <f t="shared" si="18"/>
        <v>0</v>
      </c>
      <c r="AY192" s="184">
        <f t="shared" si="18"/>
        <v>0</v>
      </c>
      <c r="AZ192" s="184">
        <f t="shared" si="18"/>
        <v>0</v>
      </c>
      <c r="BA192" s="184">
        <f t="shared" si="18"/>
        <v>0</v>
      </c>
      <c r="BB192" s="184">
        <f t="shared" si="18"/>
        <v>0</v>
      </c>
      <c r="BC192" s="184">
        <f t="shared" si="18"/>
        <v>0</v>
      </c>
      <c r="BD192" s="184">
        <f t="shared" si="18"/>
        <v>0</v>
      </c>
      <c r="BE192" s="184">
        <f t="shared" si="18"/>
        <v>0</v>
      </c>
      <c r="BF192" s="184">
        <f t="shared" si="18"/>
        <v>0</v>
      </c>
      <c r="BG192" s="184">
        <f t="shared" si="18"/>
        <v>0</v>
      </c>
      <c r="BH192" s="186">
        <f t="shared" si="18"/>
        <v>0</v>
      </c>
      <c r="BJ192" s="157"/>
    </row>
    <row r="193" spans="1:157" s="187" customFormat="1" ht="24" hidden="1" customHeight="1" x14ac:dyDescent="0.2">
      <c r="B193" s="188"/>
      <c r="C193" s="188"/>
      <c r="D193" s="188"/>
      <c r="E193" s="188"/>
      <c r="F193" s="548" t="s">
        <v>148</v>
      </c>
      <c r="G193" s="548"/>
      <c r="H193" s="548"/>
      <c r="I193" s="548"/>
      <c r="J193" s="548"/>
      <c r="K193" s="548"/>
      <c r="L193" s="548"/>
      <c r="M193" s="548"/>
      <c r="N193" s="189">
        <f t="shared" ref="N193:BH193" si="19">N187</f>
        <v>8550</v>
      </c>
      <c r="O193" s="189">
        <f t="shared" si="19"/>
        <v>6753</v>
      </c>
      <c r="P193" s="189">
        <f t="shared" si="19"/>
        <v>8007</v>
      </c>
      <c r="Q193" s="189">
        <f t="shared" si="19"/>
        <v>6263</v>
      </c>
      <c r="R193" s="189">
        <f t="shared" si="19"/>
        <v>8813</v>
      </c>
      <c r="S193" s="189">
        <f t="shared" si="19"/>
        <v>7773</v>
      </c>
      <c r="T193" s="189">
        <f t="shared" si="19"/>
        <v>6492</v>
      </c>
      <c r="U193" s="189">
        <f t="shared" si="19"/>
        <v>9127</v>
      </c>
      <c r="V193" s="189">
        <f t="shared" si="19"/>
        <v>7445</v>
      </c>
      <c r="W193" s="189">
        <f t="shared" si="19"/>
        <v>6989</v>
      </c>
      <c r="X193" s="189">
        <f t="shared" si="19"/>
        <v>5636</v>
      </c>
      <c r="Y193" s="189">
        <f t="shared" si="19"/>
        <v>5212</v>
      </c>
      <c r="Z193" s="189">
        <f t="shared" si="19"/>
        <v>3041</v>
      </c>
      <c r="AA193" s="189">
        <f t="shared" si="19"/>
        <v>8664</v>
      </c>
      <c r="AB193" s="189">
        <f t="shared" si="19"/>
        <v>10828</v>
      </c>
      <c r="AC193" s="189">
        <f t="shared" si="19"/>
        <v>8213</v>
      </c>
      <c r="AD193" s="189">
        <f t="shared" si="19"/>
        <v>10706</v>
      </c>
      <c r="AE193" s="189">
        <f t="shared" si="19"/>
        <v>11480</v>
      </c>
      <c r="AF193" s="189">
        <f t="shared" si="19"/>
        <v>6547</v>
      </c>
      <c r="AG193" s="189">
        <f t="shared" si="19"/>
        <v>7616</v>
      </c>
      <c r="AH193" s="189">
        <f t="shared" si="19"/>
        <v>11006</v>
      </c>
      <c r="AI193" s="189">
        <f t="shared" si="19"/>
        <v>3417</v>
      </c>
      <c r="AJ193" s="189">
        <f t="shared" si="19"/>
        <v>8788</v>
      </c>
      <c r="AK193" s="189">
        <f t="shared" si="19"/>
        <v>6391</v>
      </c>
      <c r="AL193" s="189">
        <f t="shared" si="19"/>
        <v>6130</v>
      </c>
      <c r="AM193" s="189">
        <f t="shared" si="19"/>
        <v>1338</v>
      </c>
      <c r="AN193" s="189">
        <f t="shared" si="19"/>
        <v>6711</v>
      </c>
      <c r="AO193" s="189">
        <f t="shared" si="19"/>
        <v>7030</v>
      </c>
      <c r="AP193" s="189">
        <f t="shared" si="19"/>
        <v>8176</v>
      </c>
      <c r="AQ193" s="190">
        <f t="shared" si="19"/>
        <v>6297</v>
      </c>
      <c r="AR193" s="189">
        <f t="shared" si="19"/>
        <v>8121</v>
      </c>
      <c r="AS193" s="189">
        <f t="shared" si="19"/>
        <v>8804</v>
      </c>
      <c r="AT193" s="189">
        <f t="shared" si="19"/>
        <v>9049</v>
      </c>
      <c r="AU193" s="189">
        <f t="shared" si="19"/>
        <v>10102</v>
      </c>
      <c r="AV193" s="189">
        <f t="shared" si="19"/>
        <v>7749</v>
      </c>
      <c r="AW193" s="189">
        <f t="shared" si="19"/>
        <v>9627</v>
      </c>
      <c r="AX193" s="189">
        <f t="shared" si="19"/>
        <v>7137</v>
      </c>
      <c r="AY193" s="189">
        <f t="shared" si="19"/>
        <v>6082</v>
      </c>
      <c r="AZ193" s="189">
        <f t="shared" si="19"/>
        <v>11161</v>
      </c>
      <c r="BA193" s="189">
        <f t="shared" si="19"/>
        <v>0</v>
      </c>
      <c r="BB193" s="189">
        <f t="shared" si="19"/>
        <v>8387</v>
      </c>
      <c r="BC193" s="189">
        <f t="shared" si="19"/>
        <v>6388</v>
      </c>
      <c r="BD193" s="189">
        <f t="shared" si="19"/>
        <v>6266</v>
      </c>
      <c r="BE193" s="189">
        <f t="shared" si="19"/>
        <v>9411</v>
      </c>
      <c r="BF193" s="189">
        <f t="shared" si="19"/>
        <v>0</v>
      </c>
      <c r="BG193" s="189">
        <f t="shared" si="19"/>
        <v>11663</v>
      </c>
      <c r="BH193" s="191">
        <f t="shared" si="19"/>
        <v>0</v>
      </c>
      <c r="BJ193" s="157"/>
    </row>
    <row r="194" spans="1:157" s="192" customFormat="1" ht="21.75" hidden="1" customHeight="1" x14ac:dyDescent="0.2">
      <c r="B194" s="188"/>
      <c r="C194" s="188"/>
      <c r="D194" s="188"/>
      <c r="E194" s="188"/>
      <c r="F194" s="548" t="s">
        <v>149</v>
      </c>
      <c r="G194" s="548"/>
      <c r="H194" s="548"/>
      <c r="I194" s="548"/>
      <c r="J194" s="548"/>
      <c r="K194" s="548"/>
      <c r="L194" s="548"/>
      <c r="M194" s="548"/>
      <c r="N194" s="183">
        <f>IF(N190=[3]ДСП!E4,60,(IF(N190=[3]ДСП!E5,55,(IF(N190=[3]ДСП!E6,50,0)))))</f>
        <v>60</v>
      </c>
      <c r="O194" s="183">
        <f>IF(O190=[3]ДСП!E4,60,(IF(O190=[3]ДСП!E5,55,(IF(O190=[3]ДСП!E6,50,0)))))</f>
        <v>60</v>
      </c>
      <c r="P194" s="183">
        <f>IF(P190=[3]ДСП!E4,60,(IF(P190=[3]ДСП!E5,55,(IF(P190=[3]ДСП!E6,50,0)))))</f>
        <v>60</v>
      </c>
      <c r="Q194" s="183">
        <f>IF(Q190=[3]ДСП!E4,60,(IF(Q190=[3]ДСП!E5,55,(IF(Q190=[3]ДСП!E6,50,0)))))</f>
        <v>60</v>
      </c>
      <c r="R194" s="183">
        <f>IF(R190=[3]ДСП!E4,60,(IF(R190=[3]ДСП!E5,55,(IF(R190=[3]ДСП!E6,50,0)))))</f>
        <v>60</v>
      </c>
      <c r="S194" s="183">
        <f>IF(S190=[3]ДСП!E4,60,(IF(S190=[3]ДСП!E5,55,(IF(S190=[3]ДСП!E6,50,0)))))</f>
        <v>60</v>
      </c>
      <c r="T194" s="183">
        <f>IF(T190=[3]ДСП!E4,60,(IF(T190=[3]ДСП!E5,55,(IF(T190=[3]ДСП!E6,50,0)))))</f>
        <v>60</v>
      </c>
      <c r="U194" s="183">
        <f>IF(U190=[3]ДСП!E4,60,(IF(U190=[3]ДСП!E5,55,(IF(U190=[3]ДСП!E6,50,0)))))</f>
        <v>60</v>
      </c>
      <c r="V194" s="183">
        <f>IF(V190=[3]ДСП!E4,60,(IF(V190=[3]ДСП!E5,55,(IF(V190=[3]ДСП!E6,50,0)))))</f>
        <v>60</v>
      </c>
      <c r="W194" s="183">
        <f>IF(W190=[3]ДСП!E4,60,(IF(W190=[3]ДСП!E5,55,(IF(W190=[3]ДСП!E6,50,0)))))</f>
        <v>60</v>
      </c>
      <c r="X194" s="183">
        <f>IF(X190=[3]ДСП!E4,60,(IF(X190=[3]ДСП!E5,55,(IF(X190=[3]ДСП!E6,50,0)))))</f>
        <v>60</v>
      </c>
      <c r="Y194" s="183">
        <f>IF(Y190=[3]ДСП!E4,60,(IF(Y190=[3]ДСП!E5,55,(IF(Y190=[3]ДСП!E6,50,0)))))</f>
        <v>60</v>
      </c>
      <c r="Z194" s="183">
        <f>IF(Z190=[3]ДСП!E4,60,(IF(Z190=[3]ДСП!E5,55,(IF(Z190=[3]ДСП!E6,50,0)))))</f>
        <v>60</v>
      </c>
      <c r="AA194" s="183">
        <f>IF(AA190=[3]ДСП!E4,60,(IF(AA190=[3]ДСП!E5,55,(IF(AA190=[3]ДСП!E6,50,0)))))</f>
        <v>60</v>
      </c>
      <c r="AB194" s="183">
        <f>IF(AB190=[3]ДСП!E4,60,(IF(AB190=[3]ДСП!E5,55,(IF(AB190=[3]ДСП!E6,50,0)))))</f>
        <v>60</v>
      </c>
      <c r="AC194" s="183">
        <f>IF(AC190=[3]ДСП!E4,60,(IF(AC190=[3]ДСП!E5,55,(IF(AC190=[3]ДСП!E6,50,0)))))</f>
        <v>60</v>
      </c>
      <c r="AD194" s="183">
        <f>IF(AD190=[3]ДСП!E4,60,(IF(AD190=[3]ДСП!E5,55,(IF(AD190=[3]ДСП!E6,50,0)))))</f>
        <v>60</v>
      </c>
      <c r="AE194" s="183">
        <f>IF(AE190=[3]ДСП!E4,60,(IF(AE190=[3]ДСП!E5,55,(IF(AE190=[3]ДСП!E6,50,0)))))</f>
        <v>60</v>
      </c>
      <c r="AF194" s="183">
        <f>IF(AF190=[3]ДСП!E4,60,(IF(AF190=[3]ДСП!E5,55,(IF(AF190=[3]ДСП!E6,50,0)))))</f>
        <v>60</v>
      </c>
      <c r="AG194" s="183">
        <f>IF(AG190=[3]ДСП!E4,60,(IF(AG190=[3]ДСП!E5,55,(IF(AG190=[3]ДСП!E6,50,0)))))</f>
        <v>60</v>
      </c>
      <c r="AH194" s="183">
        <f>IF(AH190=[3]ДСП!E4,60,(IF(AH190=[3]ДСП!E5,55,(IF(AH190=[3]ДСП!E6,50,0)))))</f>
        <v>60</v>
      </c>
      <c r="AI194" s="183">
        <f>IF(AI190=[3]ДСП!E4,60,(IF(AI190=[3]ДСП!E5,55,(IF(AI190=[3]ДСП!E6,50,0)))))</f>
        <v>60</v>
      </c>
      <c r="AJ194" s="183">
        <f>IF(AJ190=[3]ДСП!E4,60,(IF(AJ190=[3]ДСП!E5,55,(IF(AJ190=[3]ДСП!E6,50,0)))))</f>
        <v>60</v>
      </c>
      <c r="AK194" s="183">
        <f>IF(AK190=[3]ДСП!E4,60,(IF(AK190=[3]ДСП!E5,55,(IF(AK190=[3]ДСП!E6,50,0)))))</f>
        <v>60</v>
      </c>
      <c r="AL194" s="183">
        <f>IF(AL190=[3]ДСП!E4,60,(IF(AL190=[3]ДСП!E5,55,(IF(AL190=[3]ДСП!E6,50,0)))))</f>
        <v>60</v>
      </c>
      <c r="AM194" s="183">
        <f>IF(AM190=[3]ДСП!E4,60,(IF(AM190=[3]ДСП!E5,55,(IF(AM190=[3]ДСП!E6,50,0)))))</f>
        <v>60</v>
      </c>
      <c r="AN194" s="183">
        <f>IF(AN190=[3]ДСП!E4,60,(IF(AN190=[3]ДСП!E5,55,(IF(AN190=[3]ДСП!E6,50,0)))))</f>
        <v>60</v>
      </c>
      <c r="AO194" s="183">
        <f>IF(AO190=[3]ДСП!E4,60,(IF(AO190=[3]ДСП!E5,55,(IF(AO190=[3]ДСП!E6,50,0)))))</f>
        <v>60</v>
      </c>
      <c r="AP194" s="183">
        <f>IF(AP190=[3]ДСП!E4,60,(IF(AP190=[3]ДСП!E5,55,(IF(AP190=[3]ДСП!E6,50,0)))))</f>
        <v>60</v>
      </c>
      <c r="AQ194" s="193">
        <f>IF(AQ190=[3]ДСП!E4,60,(IF(AQ190=[3]ДСП!E5,55,(IF(AQ190=[3]ДСП!E6,50,0)))))</f>
        <v>60</v>
      </c>
      <c r="AR194" s="183">
        <f>IF(AR190=[3]ДСП!E4,60,(IF(AR190=[3]ДСП!E5,55,(IF(AR190=[3]ДСП!E6,50,0)))))</f>
        <v>60</v>
      </c>
      <c r="AS194" s="183">
        <f>IF(AS190=[3]ДСП!E4,60,(IF(AS190=[3]ДСП!E5,55,(IF(AS190=[3]ДСП!E6,50,0)))))</f>
        <v>60</v>
      </c>
      <c r="AT194" s="183">
        <f>IF(AT190=[3]ДСП!E4,60,(IF(AT190=[3]ДСП!E5,55,(IF(AT190=[3]ДСП!E6,50,0)))))</f>
        <v>60</v>
      </c>
      <c r="AU194" s="183">
        <f>IF(AU190=[3]ДСП!E4,60,(IF(AU190=[3]ДСП!E5,55,(IF(AU190=[3]ДСП!E6,50,0)))))</f>
        <v>60</v>
      </c>
      <c r="AV194" s="183">
        <f>IF(AV190=[3]ДСП!E4,60,(IF(AV190=[3]ДСП!E5,55,(IF(AV190=[3]ДСП!E6,50,0)))))</f>
        <v>60</v>
      </c>
      <c r="AW194" s="183">
        <f>IF(AW190=[3]ДСП!E4,60,(IF(AW190=[3]ДСП!E5,55,(IF(AW190=[3]ДСП!E6,50,0)))))</f>
        <v>60</v>
      </c>
      <c r="AX194" s="183">
        <f>IF(AX190=[3]ДСП!E4,60,(IF(AX190=[3]ДСП!E5,55,(IF(AX190=[3]ДСП!E6,50,0)))))</f>
        <v>60</v>
      </c>
      <c r="AY194" s="183">
        <f>IF(AY190=[3]ДСП!E4,60,(IF(AY190=[3]ДСП!E5,55,(IF(AY190=[3]ДСП!E6,50,0)))))</f>
        <v>60</v>
      </c>
      <c r="AZ194" s="183">
        <f>IF(AZ190=[3]ДСП!E4,60,(IF(AZ190=[3]ДСП!E5,55,(IF(AZ190=[3]ДСП!E6,50,0)))))</f>
        <v>60</v>
      </c>
      <c r="BA194" s="183">
        <f>IF(BA190=[3]ДСП!E4,60,(IF(BA190=[3]ДСП!E5,55,(IF(BA190=[3]ДСП!E6,50,0)))))</f>
        <v>60</v>
      </c>
      <c r="BB194" s="183">
        <f>IF(BB190=[3]ДСП!E4,60,(IF(BB190=[3]ДСП!E5,55,(IF(BB190=[3]ДСП!E6,50,0)))))</f>
        <v>60</v>
      </c>
      <c r="BC194" s="183">
        <f>IF(BC190=[3]ДСП!E4,60,(IF(BC190=[3]ДСП!E5,55,(IF(BC190=[3]ДСП!E6,50,0)))))</f>
        <v>60</v>
      </c>
      <c r="BD194" s="183">
        <f>IF(BD190=[3]ДСП!E4,60,(IF(BD190=[3]ДСП!E5,55,(IF(BD190=[3]ДСП!E6,50,0)))))</f>
        <v>60</v>
      </c>
      <c r="BE194" s="183">
        <f>IF(BE190=[3]ДСП!E4,60,(IF(BE190=[3]ДСП!E5,55,(IF(BE190=[3]ДСП!E6,50,0)))))</f>
        <v>60</v>
      </c>
      <c r="BF194" s="183">
        <f>IF(BF190=[3]ДСП!E4,60,(IF(BF190=[3]ДСП!E5,55,(IF(BF190=[3]ДСП!E6,50,0)))))</f>
        <v>60</v>
      </c>
      <c r="BG194" s="183">
        <f>IF(BG190=[3]ДСП!E4,60,(IF(BG190=[3]ДСП!E5,55,(IF(BG190=[3]ДСП!E6,50,0)))))</f>
        <v>60</v>
      </c>
      <c r="BH194" s="194">
        <f>IF(BH190=[3]ДСП!E4,60,(IF(BH190=[3]ДСП!E5,55,(IF(BH190=[3]ДСП!E6,50,0)))))</f>
        <v>60</v>
      </c>
      <c r="BJ194" s="157"/>
    </row>
    <row r="195" spans="1:157" s="192" customFormat="1" ht="3" customHeight="1" thickBot="1" x14ac:dyDescent="0.25">
      <c r="B195" s="188"/>
      <c r="C195" s="188"/>
      <c r="D195" s="188"/>
      <c r="E195" s="188"/>
      <c r="F195" s="195"/>
      <c r="G195" s="195"/>
      <c r="H195" s="195"/>
      <c r="I195" s="195"/>
      <c r="J195" s="195"/>
      <c r="K195" s="195"/>
      <c r="L195" s="195"/>
      <c r="M195" s="195"/>
      <c r="N195" s="183"/>
      <c r="O195" s="183"/>
      <c r="P195" s="183"/>
      <c r="Q195" s="183"/>
      <c r="R195" s="183"/>
      <c r="S195" s="183"/>
      <c r="T195" s="183"/>
      <c r="U195" s="183"/>
      <c r="V195" s="183"/>
      <c r="W195" s="183"/>
      <c r="X195" s="183"/>
      <c r="Y195" s="183"/>
      <c r="Z195" s="183"/>
      <c r="AA195" s="183"/>
      <c r="AB195" s="183"/>
      <c r="AC195" s="183"/>
      <c r="AD195" s="183"/>
      <c r="AE195" s="183"/>
      <c r="AF195" s="183"/>
      <c r="AG195" s="183"/>
      <c r="AH195" s="183"/>
      <c r="AI195" s="183"/>
      <c r="AJ195" s="183"/>
      <c r="AK195" s="183"/>
      <c r="AL195" s="183"/>
      <c r="AM195" s="183"/>
      <c r="AN195" s="183"/>
      <c r="AO195" s="183"/>
      <c r="AP195" s="183"/>
      <c r="AQ195" s="193"/>
      <c r="AR195" s="183"/>
      <c r="AS195" s="183"/>
      <c r="AT195" s="183"/>
      <c r="AU195" s="183"/>
      <c r="AV195" s="183"/>
      <c r="AW195" s="183"/>
      <c r="AX195" s="183"/>
      <c r="AY195" s="183"/>
      <c r="AZ195" s="183"/>
      <c r="BA195" s="183"/>
      <c r="BB195" s="183"/>
      <c r="BC195" s="183"/>
      <c r="BD195" s="183"/>
      <c r="BE195" s="183"/>
      <c r="BF195" s="183"/>
      <c r="BG195" s="183"/>
      <c r="BH195" s="194"/>
      <c r="BJ195" s="157"/>
    </row>
    <row r="196" spans="1:157" s="201" customFormat="1" ht="15" customHeight="1" x14ac:dyDescent="0.2">
      <c r="A196" s="180"/>
      <c r="B196" s="549" t="s">
        <v>150</v>
      </c>
      <c r="C196" s="550"/>
      <c r="D196" s="550"/>
      <c r="E196" s="551"/>
      <c r="F196" s="558" t="s">
        <v>151</v>
      </c>
      <c r="G196" s="561" t="s">
        <v>152</v>
      </c>
      <c r="H196" s="561"/>
      <c r="I196" s="561"/>
      <c r="J196" s="561"/>
      <c r="K196" s="561"/>
      <c r="L196" s="561"/>
      <c r="M196" s="562"/>
      <c r="N196" s="196"/>
      <c r="O196" s="197"/>
      <c r="P196" s="197"/>
      <c r="Q196" s="197"/>
      <c r="R196" s="197">
        <f>320+350</f>
        <v>670</v>
      </c>
      <c r="S196" s="197">
        <v>350</v>
      </c>
      <c r="T196" s="197"/>
      <c r="U196" s="197"/>
      <c r="V196" s="197"/>
      <c r="W196" s="197"/>
      <c r="X196" s="198"/>
      <c r="Y196" s="199"/>
      <c r="Z196" s="197"/>
      <c r="AA196" s="197">
        <v>320</v>
      </c>
      <c r="AB196" s="197">
        <v>350</v>
      </c>
      <c r="AC196" s="197"/>
      <c r="AD196" s="197"/>
      <c r="AE196" s="197"/>
      <c r="AF196" s="197"/>
      <c r="AG196" s="197"/>
      <c r="AH196" s="198"/>
      <c r="AI196" s="196"/>
      <c r="AJ196" s="197">
        <f>998+250+620</f>
        <v>1868</v>
      </c>
      <c r="AK196" s="197"/>
      <c r="AL196" s="197"/>
      <c r="AM196" s="197"/>
      <c r="AN196" s="197"/>
      <c r="AO196" s="197"/>
      <c r="AP196" s="200">
        <f>505+199+410</f>
        <v>1114</v>
      </c>
      <c r="AQ196" s="199"/>
      <c r="AR196" s="197">
        <v>11</v>
      </c>
      <c r="AS196" s="197"/>
      <c r="AT196" s="197"/>
      <c r="AU196" s="197"/>
      <c r="AV196" s="197">
        <f>199+529</f>
        <v>728</v>
      </c>
      <c r="AW196" s="197"/>
      <c r="AX196" s="197">
        <f>334+199</f>
        <v>533</v>
      </c>
      <c r="AY196" s="197"/>
      <c r="AZ196" s="197">
        <v>199</v>
      </c>
      <c r="BA196" s="197"/>
      <c r="BB196" s="197"/>
      <c r="BC196" s="197"/>
      <c r="BD196" s="197"/>
      <c r="BE196" s="197">
        <v>325</v>
      </c>
      <c r="BF196" s="197"/>
      <c r="BG196" s="197"/>
      <c r="BH196" s="198"/>
      <c r="BI196" s="180"/>
      <c r="BJ196" s="157"/>
      <c r="BK196" s="180"/>
      <c r="BL196" s="180"/>
      <c r="BM196" s="180"/>
      <c r="BN196" s="180"/>
      <c r="BO196" s="180"/>
      <c r="BP196" s="180"/>
      <c r="BQ196" s="180"/>
      <c r="BR196" s="180"/>
      <c r="BS196" s="180"/>
      <c r="BT196" s="180"/>
      <c r="BU196" s="180"/>
      <c r="BV196" s="180"/>
      <c r="BW196" s="180"/>
      <c r="BX196" s="180"/>
      <c r="BY196" s="180"/>
      <c r="BZ196" s="180"/>
      <c r="CA196" s="180"/>
      <c r="CB196" s="180"/>
      <c r="CC196" s="180"/>
      <c r="CD196" s="180"/>
      <c r="CE196" s="180"/>
      <c r="CF196" s="180"/>
      <c r="CG196" s="180"/>
      <c r="CH196" s="180"/>
      <c r="CI196" s="180"/>
      <c r="CJ196" s="180"/>
      <c r="CK196" s="180"/>
      <c r="CL196" s="180"/>
      <c r="CM196" s="180"/>
      <c r="CN196" s="180"/>
      <c r="CO196" s="180"/>
      <c r="CP196" s="180"/>
      <c r="CQ196" s="180"/>
      <c r="CR196" s="180"/>
      <c r="CS196" s="180"/>
      <c r="CT196" s="180"/>
      <c r="CU196" s="180"/>
      <c r="CV196" s="180"/>
      <c r="CW196" s="180"/>
      <c r="CX196" s="180"/>
      <c r="CY196" s="180"/>
      <c r="CZ196" s="180"/>
      <c r="DA196" s="180"/>
      <c r="DB196" s="180"/>
      <c r="DC196" s="180"/>
      <c r="DD196" s="180"/>
      <c r="DE196" s="180"/>
      <c r="DF196" s="180"/>
      <c r="DG196" s="180"/>
      <c r="DH196" s="180"/>
      <c r="DI196" s="180"/>
      <c r="DJ196" s="180"/>
      <c r="DK196" s="180"/>
      <c r="DL196" s="180"/>
      <c r="DM196" s="180"/>
      <c r="DN196" s="180"/>
      <c r="DO196" s="180"/>
      <c r="DP196" s="180"/>
      <c r="DQ196" s="180"/>
      <c r="DR196" s="180"/>
      <c r="DS196" s="180"/>
      <c r="DT196" s="180"/>
      <c r="DU196" s="180"/>
      <c r="DV196" s="180"/>
      <c r="DW196" s="180"/>
      <c r="DX196" s="180"/>
      <c r="DY196" s="180"/>
      <c r="DZ196" s="180"/>
      <c r="EA196" s="180"/>
      <c r="EB196" s="180"/>
      <c r="EC196" s="180"/>
      <c r="ED196" s="180"/>
      <c r="EE196" s="180"/>
      <c r="EF196" s="180"/>
      <c r="EG196" s="180"/>
      <c r="EH196" s="180"/>
      <c r="EI196" s="180"/>
      <c r="EJ196" s="180"/>
      <c r="EK196" s="180"/>
      <c r="EL196" s="180"/>
      <c r="EM196" s="180"/>
      <c r="EN196" s="180"/>
      <c r="EO196" s="180"/>
      <c r="EP196" s="180"/>
      <c r="EQ196" s="180"/>
      <c r="ER196" s="180"/>
      <c r="ES196" s="180"/>
      <c r="ET196" s="180"/>
      <c r="EU196" s="180"/>
      <c r="EV196" s="180"/>
      <c r="EW196" s="180"/>
      <c r="EX196" s="180"/>
      <c r="EY196" s="180"/>
      <c r="EZ196" s="180"/>
      <c r="FA196" s="180"/>
    </row>
    <row r="197" spans="1:157" s="207" customFormat="1" ht="15" customHeight="1" x14ac:dyDescent="0.2">
      <c r="A197" s="180"/>
      <c r="B197" s="552"/>
      <c r="C197" s="553"/>
      <c r="D197" s="553"/>
      <c r="E197" s="554"/>
      <c r="F197" s="559"/>
      <c r="G197" s="563" t="s">
        <v>153</v>
      </c>
      <c r="H197" s="563"/>
      <c r="I197" s="563"/>
      <c r="J197" s="563"/>
      <c r="K197" s="563"/>
      <c r="L197" s="563"/>
      <c r="M197" s="564"/>
      <c r="N197" s="202"/>
      <c r="O197" s="203"/>
      <c r="P197" s="203"/>
      <c r="Q197" s="203"/>
      <c r="R197" s="203"/>
      <c r="S197" s="203"/>
      <c r="T197" s="203"/>
      <c r="U197" s="203"/>
      <c r="V197" s="203"/>
      <c r="W197" s="203"/>
      <c r="X197" s="204"/>
      <c r="Y197" s="205"/>
      <c r="Z197" s="203"/>
      <c r="AA197" s="203"/>
      <c r="AB197" s="203">
        <v>679</v>
      </c>
      <c r="AC197" s="203">
        <v>556</v>
      </c>
      <c r="AD197" s="203">
        <f>2000</f>
        <v>2000</v>
      </c>
      <c r="AE197" s="203"/>
      <c r="AF197" s="203">
        <v>552</v>
      </c>
      <c r="AG197" s="203"/>
      <c r="AH197" s="204"/>
      <c r="AI197" s="202"/>
      <c r="AJ197" s="203">
        <v>1219</v>
      </c>
      <c r="AK197" s="203">
        <v>284</v>
      </c>
      <c r="AL197" s="203">
        <v>590</v>
      </c>
      <c r="AM197" s="203"/>
      <c r="AN197" s="203">
        <f>454+760+250</f>
        <v>1464</v>
      </c>
      <c r="AO197" s="203">
        <f>199+437</f>
        <v>636</v>
      </c>
      <c r="AP197" s="206">
        <f>199+199</f>
        <v>398</v>
      </c>
      <c r="AQ197" s="205"/>
      <c r="AR197" s="203">
        <v>614</v>
      </c>
      <c r="AS197" s="203">
        <v>301</v>
      </c>
      <c r="AT197" s="203">
        <v>743</v>
      </c>
      <c r="AU197" s="203"/>
      <c r="AV197" s="203">
        <v>301</v>
      </c>
      <c r="AW197" s="203">
        <f>522</f>
        <v>522</v>
      </c>
      <c r="AX197" s="203">
        <f>471+424</f>
        <v>895</v>
      </c>
      <c r="AY197" s="203"/>
      <c r="AZ197" s="203"/>
      <c r="BA197" s="203"/>
      <c r="BB197" s="203">
        <f>199+335+199</f>
        <v>733</v>
      </c>
      <c r="BC197" s="203"/>
      <c r="BD197" s="203">
        <f>386+369</f>
        <v>755</v>
      </c>
      <c r="BE197" s="203">
        <v>335</v>
      </c>
      <c r="BF197" s="203"/>
      <c r="BG197" s="203"/>
      <c r="BH197" s="204"/>
      <c r="BI197" s="180"/>
      <c r="BJ197" s="157"/>
      <c r="BK197" s="180"/>
      <c r="BL197" s="180"/>
      <c r="BM197" s="180"/>
      <c r="BN197" s="180"/>
      <c r="BO197" s="180"/>
      <c r="BP197" s="180"/>
      <c r="BQ197" s="180"/>
      <c r="BR197" s="180"/>
      <c r="BS197" s="180"/>
      <c r="BT197" s="180"/>
      <c r="BU197" s="180"/>
      <c r="BV197" s="180"/>
      <c r="BW197" s="180"/>
      <c r="BX197" s="180"/>
      <c r="BY197" s="180"/>
      <c r="BZ197" s="180"/>
      <c r="CA197" s="180"/>
      <c r="CB197" s="180"/>
      <c r="CC197" s="180"/>
      <c r="CD197" s="180"/>
      <c r="CE197" s="180"/>
      <c r="CF197" s="180"/>
      <c r="CG197" s="180"/>
      <c r="CH197" s="180"/>
      <c r="CI197" s="180"/>
      <c r="CJ197" s="180"/>
      <c r="CK197" s="180"/>
      <c r="CL197" s="180"/>
      <c r="CM197" s="180"/>
      <c r="CN197" s="180"/>
      <c r="CO197" s="180"/>
      <c r="CP197" s="180"/>
      <c r="CQ197" s="180"/>
      <c r="CR197" s="180"/>
      <c r="CS197" s="180"/>
      <c r="CT197" s="180"/>
      <c r="CU197" s="180"/>
      <c r="CV197" s="180"/>
      <c r="CW197" s="180"/>
      <c r="CX197" s="180"/>
      <c r="CY197" s="180"/>
      <c r="CZ197" s="180"/>
      <c r="DA197" s="180"/>
      <c r="DB197" s="180"/>
      <c r="DC197" s="180"/>
      <c r="DD197" s="180"/>
      <c r="DE197" s="180"/>
      <c r="DF197" s="180"/>
      <c r="DG197" s="180"/>
      <c r="DH197" s="180"/>
      <c r="DI197" s="180"/>
      <c r="DJ197" s="180"/>
      <c r="DK197" s="180"/>
      <c r="DL197" s="180"/>
      <c r="DM197" s="180"/>
      <c r="DN197" s="180"/>
      <c r="DO197" s="180"/>
      <c r="DP197" s="180"/>
      <c r="DQ197" s="180"/>
      <c r="DR197" s="180"/>
      <c r="DS197" s="180"/>
      <c r="DT197" s="180"/>
      <c r="DU197" s="180"/>
      <c r="DV197" s="180"/>
      <c r="DW197" s="180"/>
      <c r="DX197" s="180"/>
      <c r="DY197" s="180"/>
      <c r="DZ197" s="180"/>
      <c r="EA197" s="180"/>
      <c r="EB197" s="180"/>
      <c r="EC197" s="180"/>
      <c r="ED197" s="180"/>
      <c r="EE197" s="180"/>
      <c r="EF197" s="180"/>
      <c r="EG197" s="180"/>
      <c r="EH197" s="180"/>
      <c r="EI197" s="180"/>
      <c r="EJ197" s="180"/>
      <c r="EK197" s="180"/>
      <c r="EL197" s="180"/>
      <c r="EM197" s="180"/>
      <c r="EN197" s="180"/>
      <c r="EO197" s="180"/>
      <c r="EP197" s="180"/>
      <c r="EQ197" s="180"/>
      <c r="ER197" s="180"/>
      <c r="ES197" s="180"/>
      <c r="ET197" s="180"/>
      <c r="EU197" s="180"/>
      <c r="EV197" s="180"/>
      <c r="EW197" s="180"/>
      <c r="EX197" s="180"/>
      <c r="EY197" s="180"/>
      <c r="EZ197" s="180"/>
      <c r="FA197" s="180"/>
    </row>
    <row r="198" spans="1:157" s="213" customFormat="1" ht="15" customHeight="1" x14ac:dyDescent="0.2">
      <c r="A198" s="180"/>
      <c r="B198" s="552"/>
      <c r="C198" s="553"/>
      <c r="D198" s="553"/>
      <c r="E198" s="554"/>
      <c r="F198" s="559"/>
      <c r="G198" s="565" t="s">
        <v>154</v>
      </c>
      <c r="H198" s="565"/>
      <c r="I198" s="565"/>
      <c r="J198" s="565"/>
      <c r="K198" s="565"/>
      <c r="L198" s="565"/>
      <c r="M198" s="566"/>
      <c r="N198" s="208"/>
      <c r="O198" s="209"/>
      <c r="P198" s="209"/>
      <c r="Q198" s="209"/>
      <c r="R198" s="209"/>
      <c r="S198" s="209"/>
      <c r="T198" s="209"/>
      <c r="U198" s="209"/>
      <c r="V198" s="209"/>
      <c r="W198" s="209"/>
      <c r="X198" s="210"/>
      <c r="Y198" s="211"/>
      <c r="Z198" s="209"/>
      <c r="AA198" s="209"/>
      <c r="AB198" s="209"/>
      <c r="AC198" s="209"/>
      <c r="AD198" s="209"/>
      <c r="AE198" s="209"/>
      <c r="AF198" s="209"/>
      <c r="AG198" s="209"/>
      <c r="AH198" s="210"/>
      <c r="AI198" s="208"/>
      <c r="AJ198" s="209"/>
      <c r="AK198" s="209"/>
      <c r="AL198" s="209"/>
      <c r="AM198" s="209"/>
      <c r="AN198" s="209"/>
      <c r="AO198" s="209"/>
      <c r="AP198" s="212"/>
      <c r="AQ198" s="211"/>
      <c r="AR198" s="209"/>
      <c r="AS198" s="209"/>
      <c r="AT198" s="209"/>
      <c r="AU198" s="209"/>
      <c r="AV198" s="209"/>
      <c r="AW198" s="209"/>
      <c r="AX198" s="209"/>
      <c r="AY198" s="209"/>
      <c r="AZ198" s="209"/>
      <c r="BA198" s="209"/>
      <c r="BB198" s="209"/>
      <c r="BC198" s="209"/>
      <c r="BD198" s="209"/>
      <c r="BE198" s="209"/>
      <c r="BF198" s="209"/>
      <c r="BG198" s="209"/>
      <c r="BH198" s="210"/>
      <c r="BI198" s="180"/>
      <c r="BJ198" s="157"/>
      <c r="BK198" s="180"/>
      <c r="BL198" s="180"/>
      <c r="BM198" s="180"/>
      <c r="BN198" s="180"/>
      <c r="BO198" s="180"/>
      <c r="BP198" s="180"/>
      <c r="BQ198" s="180"/>
      <c r="BR198" s="180"/>
      <c r="BS198" s="180"/>
      <c r="BT198" s="180"/>
      <c r="BU198" s="180"/>
      <c r="BV198" s="180"/>
      <c r="BW198" s="180"/>
      <c r="BX198" s="180"/>
      <c r="BY198" s="180"/>
      <c r="BZ198" s="180"/>
      <c r="CA198" s="180"/>
      <c r="CB198" s="180"/>
      <c r="CC198" s="180"/>
      <c r="CD198" s="180"/>
      <c r="CE198" s="180"/>
      <c r="CF198" s="180"/>
      <c r="CG198" s="180"/>
      <c r="CH198" s="180"/>
      <c r="CI198" s="180"/>
      <c r="CJ198" s="180"/>
      <c r="CK198" s="180"/>
      <c r="CL198" s="180"/>
      <c r="CM198" s="180"/>
      <c r="CN198" s="180"/>
      <c r="CO198" s="180"/>
      <c r="CP198" s="180"/>
      <c r="CQ198" s="180"/>
      <c r="CR198" s="180"/>
      <c r="CS198" s="180"/>
      <c r="CT198" s="180"/>
      <c r="CU198" s="180"/>
      <c r="CV198" s="180"/>
      <c r="CW198" s="180"/>
      <c r="CX198" s="180"/>
      <c r="CY198" s="180"/>
      <c r="CZ198" s="180"/>
      <c r="DA198" s="180"/>
      <c r="DB198" s="180"/>
      <c r="DC198" s="180"/>
      <c r="DD198" s="180"/>
      <c r="DE198" s="180"/>
      <c r="DF198" s="180"/>
      <c r="DG198" s="180"/>
      <c r="DH198" s="180"/>
      <c r="DI198" s="180"/>
      <c r="DJ198" s="180"/>
      <c r="DK198" s="180"/>
      <c r="DL198" s="180"/>
      <c r="DM198" s="180"/>
      <c r="DN198" s="180"/>
      <c r="DO198" s="180"/>
      <c r="DP198" s="180"/>
      <c r="DQ198" s="180"/>
      <c r="DR198" s="180"/>
      <c r="DS198" s="180"/>
      <c r="DT198" s="180"/>
      <c r="DU198" s="180"/>
      <c r="DV198" s="180"/>
      <c r="DW198" s="180"/>
      <c r="DX198" s="180"/>
      <c r="DY198" s="180"/>
      <c r="DZ198" s="180"/>
      <c r="EA198" s="180"/>
      <c r="EB198" s="180"/>
      <c r="EC198" s="180"/>
      <c r="ED198" s="180"/>
      <c r="EE198" s="180"/>
      <c r="EF198" s="180"/>
      <c r="EG198" s="180"/>
      <c r="EH198" s="180"/>
      <c r="EI198" s="180"/>
      <c r="EJ198" s="180"/>
      <c r="EK198" s="180"/>
      <c r="EL198" s="180"/>
      <c r="EM198" s="180"/>
      <c r="EN198" s="180"/>
      <c r="EO198" s="180"/>
      <c r="EP198" s="180"/>
      <c r="EQ198" s="180"/>
      <c r="ER198" s="180"/>
      <c r="ES198" s="180"/>
      <c r="ET198" s="180"/>
      <c r="EU198" s="180"/>
      <c r="EV198" s="180"/>
      <c r="EW198" s="180"/>
      <c r="EX198" s="180"/>
      <c r="EY198" s="180"/>
      <c r="EZ198" s="180"/>
      <c r="FA198" s="180"/>
    </row>
    <row r="199" spans="1:157" s="207" customFormat="1" ht="15" customHeight="1" x14ac:dyDescent="0.2">
      <c r="A199" s="180"/>
      <c r="B199" s="552"/>
      <c r="C199" s="553"/>
      <c r="D199" s="553"/>
      <c r="E199" s="554"/>
      <c r="F199" s="559"/>
      <c r="G199" s="563" t="s">
        <v>155</v>
      </c>
      <c r="H199" s="563"/>
      <c r="I199" s="563"/>
      <c r="J199" s="563"/>
      <c r="K199" s="563"/>
      <c r="L199" s="563"/>
      <c r="M199" s="564"/>
      <c r="N199" s="202"/>
      <c r="O199" s="203"/>
      <c r="P199" s="203">
        <v>597</v>
      </c>
      <c r="Q199" s="203"/>
      <c r="R199" s="203">
        <v>320</v>
      </c>
      <c r="S199" s="203">
        <v>691</v>
      </c>
      <c r="T199" s="203"/>
      <c r="U199" s="203"/>
      <c r="V199" s="203">
        <f>259+244</f>
        <v>503</v>
      </c>
      <c r="W199" s="203"/>
      <c r="X199" s="204"/>
      <c r="Y199" s="205">
        <v>350</v>
      </c>
      <c r="Z199" s="203"/>
      <c r="AA199" s="203"/>
      <c r="AB199" s="203"/>
      <c r="AC199" s="203"/>
      <c r="AD199" s="203"/>
      <c r="AE199" s="203"/>
      <c r="AF199" s="203"/>
      <c r="AG199" s="203"/>
      <c r="AH199" s="204"/>
      <c r="AI199" s="202"/>
      <c r="AJ199" s="203"/>
      <c r="AK199" s="203"/>
      <c r="AL199" s="203"/>
      <c r="AM199" s="203"/>
      <c r="AN199" s="203"/>
      <c r="AO199" s="203"/>
      <c r="AP199" s="206"/>
      <c r="AQ199" s="205"/>
      <c r="AR199" s="203"/>
      <c r="AS199" s="203"/>
      <c r="AT199" s="203"/>
      <c r="AU199" s="203"/>
      <c r="AV199" s="203"/>
      <c r="AW199" s="203"/>
      <c r="AX199" s="203"/>
      <c r="AY199" s="203"/>
      <c r="AZ199" s="203"/>
      <c r="BA199" s="203"/>
      <c r="BB199" s="203"/>
      <c r="BC199" s="203"/>
      <c r="BD199" s="203"/>
      <c r="BE199" s="203"/>
      <c r="BF199" s="203"/>
      <c r="BG199" s="203">
        <f>502+786+397+649+452</f>
        <v>2786</v>
      </c>
      <c r="BH199" s="204"/>
      <c r="BI199" s="180"/>
      <c r="BJ199" s="157"/>
      <c r="BK199" s="180"/>
      <c r="BL199" s="180"/>
      <c r="BM199" s="180"/>
      <c r="BN199" s="180"/>
      <c r="BO199" s="180"/>
      <c r="BP199" s="180"/>
      <c r="BQ199" s="180"/>
      <c r="BR199" s="180"/>
      <c r="BS199" s="180"/>
      <c r="BT199" s="180"/>
      <c r="BU199" s="180"/>
      <c r="BV199" s="180"/>
      <c r="BW199" s="180"/>
      <c r="BX199" s="180"/>
      <c r="BY199" s="180"/>
      <c r="BZ199" s="180"/>
      <c r="CA199" s="180"/>
      <c r="CB199" s="180"/>
      <c r="CC199" s="180"/>
      <c r="CD199" s="180"/>
      <c r="CE199" s="180"/>
      <c r="CF199" s="180"/>
      <c r="CG199" s="180"/>
      <c r="CH199" s="180"/>
      <c r="CI199" s="180"/>
      <c r="CJ199" s="180"/>
      <c r="CK199" s="180"/>
      <c r="CL199" s="180"/>
      <c r="CM199" s="180"/>
      <c r="CN199" s="180"/>
      <c r="CO199" s="180"/>
      <c r="CP199" s="180"/>
      <c r="CQ199" s="180"/>
      <c r="CR199" s="180"/>
      <c r="CS199" s="180"/>
      <c r="CT199" s="180"/>
      <c r="CU199" s="180"/>
      <c r="CV199" s="180"/>
      <c r="CW199" s="180"/>
      <c r="CX199" s="180"/>
      <c r="CY199" s="180"/>
      <c r="CZ199" s="180"/>
      <c r="DA199" s="180"/>
      <c r="DB199" s="180"/>
      <c r="DC199" s="180"/>
      <c r="DD199" s="180"/>
      <c r="DE199" s="180"/>
      <c r="DF199" s="180"/>
      <c r="DG199" s="180"/>
      <c r="DH199" s="180"/>
      <c r="DI199" s="180"/>
      <c r="DJ199" s="180"/>
      <c r="DK199" s="180"/>
      <c r="DL199" s="180"/>
      <c r="DM199" s="180"/>
      <c r="DN199" s="180"/>
      <c r="DO199" s="180"/>
      <c r="DP199" s="180"/>
      <c r="DQ199" s="180"/>
      <c r="DR199" s="180"/>
      <c r="DS199" s="180"/>
      <c r="DT199" s="180"/>
      <c r="DU199" s="180"/>
      <c r="DV199" s="180"/>
      <c r="DW199" s="180"/>
      <c r="DX199" s="180"/>
      <c r="DY199" s="180"/>
      <c r="DZ199" s="180"/>
      <c r="EA199" s="180"/>
      <c r="EB199" s="180"/>
      <c r="EC199" s="180"/>
      <c r="ED199" s="180"/>
      <c r="EE199" s="180"/>
      <c r="EF199" s="180"/>
      <c r="EG199" s="180"/>
      <c r="EH199" s="180"/>
      <c r="EI199" s="180"/>
      <c r="EJ199" s="180"/>
      <c r="EK199" s="180"/>
      <c r="EL199" s="180"/>
      <c r="EM199" s="180"/>
      <c r="EN199" s="180"/>
      <c r="EO199" s="180"/>
      <c r="EP199" s="180"/>
      <c r="EQ199" s="180"/>
      <c r="ER199" s="180"/>
      <c r="ES199" s="180"/>
      <c r="ET199" s="180"/>
      <c r="EU199" s="180"/>
      <c r="EV199" s="180"/>
      <c r="EW199" s="180"/>
      <c r="EX199" s="180"/>
      <c r="EY199" s="180"/>
      <c r="EZ199" s="180"/>
      <c r="FA199" s="180"/>
    </row>
    <row r="200" spans="1:157" s="207" customFormat="1" ht="15" customHeight="1" x14ac:dyDescent="0.2">
      <c r="A200" s="180"/>
      <c r="B200" s="552"/>
      <c r="C200" s="553"/>
      <c r="D200" s="553"/>
      <c r="E200" s="554"/>
      <c r="F200" s="560"/>
      <c r="G200" s="567" t="s">
        <v>156</v>
      </c>
      <c r="H200" s="567"/>
      <c r="I200" s="567"/>
      <c r="J200" s="567"/>
      <c r="K200" s="567"/>
      <c r="L200" s="567"/>
      <c r="M200" s="568"/>
      <c r="N200" s="214">
        <f>1510+92+74+400+269+370</f>
        <v>2715</v>
      </c>
      <c r="O200" s="215">
        <f>206+899+188+430+438+400+400</f>
        <v>2961</v>
      </c>
      <c r="P200" s="215"/>
      <c r="Q200" s="215">
        <f>400+430</f>
        <v>830</v>
      </c>
      <c r="R200" s="215">
        <f>910+640+460+820</f>
        <v>2830</v>
      </c>
      <c r="S200" s="215"/>
      <c r="T200" s="215">
        <f>56+424+250</f>
        <v>730</v>
      </c>
      <c r="U200" s="215">
        <f>430+460+400+224+430+400</f>
        <v>2344</v>
      </c>
      <c r="V200" s="215">
        <f>370+325+565+310+110</f>
        <v>1680</v>
      </c>
      <c r="W200" s="215"/>
      <c r="X200" s="216">
        <f>410+460+250+355</f>
        <v>1475</v>
      </c>
      <c r="Y200" s="217"/>
      <c r="Z200" s="215"/>
      <c r="AA200" s="215"/>
      <c r="AB200" s="215">
        <f>400+400+895+430+775</f>
        <v>2900</v>
      </c>
      <c r="AC200" s="215">
        <f>895+62+400</f>
        <v>1357</v>
      </c>
      <c r="AD200" s="215">
        <f>452+400+206+400+44+278+400</f>
        <v>2180</v>
      </c>
      <c r="AE200" s="215">
        <f>400+44+430</f>
        <v>874</v>
      </c>
      <c r="AF200" s="215">
        <f>5+545</f>
        <v>550</v>
      </c>
      <c r="AG200" s="215">
        <f>5+250+250+20</f>
        <v>525</v>
      </c>
      <c r="AH200" s="216">
        <f>1165+1730+5+1300+550+323+250+250</f>
        <v>5573</v>
      </c>
      <c r="AI200" s="218"/>
      <c r="AJ200" s="215"/>
      <c r="AK200" s="215"/>
      <c r="AL200" s="215"/>
      <c r="AM200" s="215"/>
      <c r="AN200" s="215"/>
      <c r="AO200" s="215"/>
      <c r="AP200" s="219"/>
      <c r="AQ200" s="217">
        <f>490+250+295</f>
        <v>1035</v>
      </c>
      <c r="AR200" s="215">
        <f>8+8+400+188+400+400</f>
        <v>1404</v>
      </c>
      <c r="AS200" s="215">
        <f>325+340+38+800+820+385</f>
        <v>2708</v>
      </c>
      <c r="AT200" s="215">
        <f>415+550+505+26</f>
        <v>1496</v>
      </c>
      <c r="AU200" s="215">
        <f>999+490+340+17</f>
        <v>1846</v>
      </c>
      <c r="AV200" s="215">
        <f>265+355+1172+250</f>
        <v>2042</v>
      </c>
      <c r="AW200" s="215">
        <v>1677</v>
      </c>
      <c r="AX200" s="215"/>
      <c r="AY200" s="215"/>
      <c r="AZ200" s="215">
        <f>715+400+400+400+565+26+152+400</f>
        <v>3058</v>
      </c>
      <c r="BA200" s="215"/>
      <c r="BB200" s="215"/>
      <c r="BC200" s="215">
        <f>430+310+250+110</f>
        <v>1100</v>
      </c>
      <c r="BD200" s="215"/>
      <c r="BE200" s="215">
        <f>560+188+170+400+505+400+430+400</f>
        <v>3053</v>
      </c>
      <c r="BF200" s="215"/>
      <c r="BG200" s="215">
        <f>415+610+206+400+206+400+332</f>
        <v>2569</v>
      </c>
      <c r="BH200" s="216"/>
      <c r="BI200" s="180"/>
      <c r="BJ200" s="157"/>
      <c r="BK200" s="180"/>
      <c r="BL200" s="180"/>
      <c r="BM200" s="180"/>
      <c r="BN200" s="180"/>
      <c r="BO200" s="180"/>
      <c r="BP200" s="180"/>
      <c r="BQ200" s="180"/>
      <c r="BR200" s="180"/>
      <c r="BS200" s="180"/>
      <c r="BT200" s="180"/>
      <c r="BU200" s="180"/>
      <c r="BV200" s="180"/>
      <c r="BW200" s="180"/>
      <c r="BX200" s="180"/>
      <c r="BY200" s="180"/>
      <c r="BZ200" s="180"/>
      <c r="CA200" s="180"/>
      <c r="CB200" s="180"/>
      <c r="CC200" s="180"/>
      <c r="CD200" s="180"/>
      <c r="CE200" s="180"/>
      <c r="CF200" s="180"/>
      <c r="CG200" s="180"/>
      <c r="CH200" s="180"/>
      <c r="CI200" s="180"/>
      <c r="CJ200" s="180"/>
      <c r="CK200" s="180"/>
      <c r="CL200" s="180"/>
      <c r="CM200" s="180"/>
      <c r="CN200" s="180"/>
      <c r="CO200" s="180"/>
      <c r="CP200" s="180"/>
      <c r="CQ200" s="180"/>
      <c r="CR200" s="180"/>
      <c r="CS200" s="180"/>
      <c r="CT200" s="180"/>
      <c r="CU200" s="180"/>
      <c r="CV200" s="180"/>
      <c r="CW200" s="180"/>
      <c r="CX200" s="180"/>
      <c r="CY200" s="180"/>
      <c r="CZ200" s="180"/>
      <c r="DA200" s="180"/>
      <c r="DB200" s="180"/>
      <c r="DC200" s="180"/>
      <c r="DD200" s="180"/>
      <c r="DE200" s="180"/>
      <c r="DF200" s="180"/>
      <c r="DG200" s="180"/>
      <c r="DH200" s="180"/>
      <c r="DI200" s="180"/>
      <c r="DJ200" s="180"/>
      <c r="DK200" s="180"/>
      <c r="DL200" s="180"/>
      <c r="DM200" s="180"/>
      <c r="DN200" s="180"/>
      <c r="DO200" s="180"/>
      <c r="DP200" s="180"/>
      <c r="DQ200" s="180"/>
      <c r="DR200" s="180"/>
      <c r="DS200" s="180"/>
      <c r="DT200" s="180"/>
      <c r="DU200" s="180"/>
      <c r="DV200" s="180"/>
      <c r="DW200" s="180"/>
      <c r="DX200" s="180"/>
      <c r="DY200" s="180"/>
      <c r="DZ200" s="180"/>
      <c r="EA200" s="180"/>
      <c r="EB200" s="180"/>
      <c r="EC200" s="180"/>
      <c r="ED200" s="180"/>
      <c r="EE200" s="180"/>
      <c r="EF200" s="180"/>
      <c r="EG200" s="180"/>
      <c r="EH200" s="180"/>
      <c r="EI200" s="180"/>
      <c r="EJ200" s="180"/>
      <c r="EK200" s="180"/>
      <c r="EL200" s="180"/>
      <c r="EM200" s="180"/>
      <c r="EN200" s="180"/>
      <c r="EO200" s="180"/>
      <c r="EP200" s="180"/>
      <c r="EQ200" s="180"/>
      <c r="ER200" s="180"/>
      <c r="ES200" s="180"/>
      <c r="ET200" s="180"/>
      <c r="EU200" s="180"/>
      <c r="EV200" s="180"/>
      <c r="EW200" s="180"/>
      <c r="EX200" s="180"/>
      <c r="EY200" s="180"/>
      <c r="EZ200" s="180"/>
      <c r="FA200" s="180"/>
    </row>
    <row r="201" spans="1:157" s="220" customFormat="1" ht="15" customHeight="1" thickBot="1" x14ac:dyDescent="0.25">
      <c r="B201" s="555"/>
      <c r="C201" s="556"/>
      <c r="D201" s="556"/>
      <c r="E201" s="557"/>
      <c r="F201" s="520" t="s">
        <v>157</v>
      </c>
      <c r="G201" s="521"/>
      <c r="H201" s="521"/>
      <c r="I201" s="521"/>
      <c r="J201" s="521"/>
      <c r="K201" s="521"/>
      <c r="L201" s="521"/>
      <c r="M201" s="522"/>
      <c r="N201" s="221"/>
      <c r="O201" s="222"/>
      <c r="P201" s="222"/>
      <c r="Q201" s="222"/>
      <c r="R201" s="222"/>
      <c r="S201" s="222"/>
      <c r="T201" s="222"/>
      <c r="U201" s="222"/>
      <c r="V201" s="222"/>
      <c r="W201" s="222"/>
      <c r="X201" s="223"/>
      <c r="Y201" s="224"/>
      <c r="Z201" s="222"/>
      <c r="AA201" s="222"/>
      <c r="AB201" s="222"/>
      <c r="AC201" s="222"/>
      <c r="AD201" s="222"/>
      <c r="AE201" s="222"/>
      <c r="AF201" s="222"/>
      <c r="AG201" s="222"/>
      <c r="AH201" s="223"/>
      <c r="AI201" s="221"/>
      <c r="AJ201" s="222"/>
      <c r="AK201" s="222"/>
      <c r="AL201" s="222"/>
      <c r="AM201" s="222"/>
      <c r="AN201" s="222"/>
      <c r="AO201" s="222"/>
      <c r="AP201" s="225"/>
      <c r="AQ201" s="224"/>
      <c r="AR201" s="222"/>
      <c r="AS201" s="222"/>
      <c r="AT201" s="222"/>
      <c r="AU201" s="222"/>
      <c r="AV201" s="222"/>
      <c r="AW201" s="222"/>
      <c r="AX201" s="222"/>
      <c r="AY201" s="222"/>
      <c r="AZ201" s="222"/>
      <c r="BA201" s="222"/>
      <c r="BB201" s="222"/>
      <c r="BC201" s="222"/>
      <c r="BD201" s="222"/>
      <c r="BE201" s="222"/>
      <c r="BF201" s="222"/>
      <c r="BG201" s="222"/>
      <c r="BH201" s="223"/>
      <c r="BJ201" s="157"/>
    </row>
    <row r="202" spans="1:157" s="226" customFormat="1" ht="15" customHeight="1" thickBot="1" x14ac:dyDescent="0.25">
      <c r="B202" s="227"/>
      <c r="C202" s="228"/>
      <c r="D202" s="228"/>
      <c r="E202" s="229"/>
      <c r="F202" s="523" t="s">
        <v>158</v>
      </c>
      <c r="G202" s="524"/>
      <c r="H202" s="524"/>
      <c r="I202" s="524"/>
      <c r="J202" s="524"/>
      <c r="K202" s="524"/>
      <c r="L202" s="524"/>
      <c r="M202" s="525"/>
      <c r="N202" s="230"/>
      <c r="O202" s="231"/>
      <c r="P202" s="231"/>
      <c r="Q202" s="231"/>
      <c r="R202" s="231"/>
      <c r="S202" s="231"/>
      <c r="T202" s="231"/>
      <c r="U202" s="231"/>
      <c r="V202" s="231"/>
      <c r="W202" s="231"/>
      <c r="X202" s="231"/>
      <c r="Y202" s="231"/>
      <c r="Z202" s="231"/>
      <c r="AA202" s="231"/>
      <c r="AB202" s="231"/>
      <c r="AC202" s="231"/>
      <c r="AD202" s="231"/>
      <c r="AE202" s="231"/>
      <c r="AF202" s="231"/>
      <c r="AG202" s="231"/>
      <c r="AH202" s="231"/>
      <c r="AI202" s="230"/>
      <c r="AJ202" s="231"/>
      <c r="AK202" s="231"/>
      <c r="AL202" s="231"/>
      <c r="AM202" s="231"/>
      <c r="AN202" s="231"/>
      <c r="AO202" s="231"/>
      <c r="AP202" s="232"/>
      <c r="AQ202" s="233"/>
      <c r="AR202" s="231"/>
      <c r="AS202" s="231"/>
      <c r="AT202" s="231"/>
      <c r="AU202" s="231"/>
      <c r="AV202" s="231"/>
      <c r="AW202" s="231"/>
      <c r="AX202" s="231"/>
      <c r="AY202" s="231"/>
      <c r="AZ202" s="231"/>
      <c r="BA202" s="231"/>
      <c r="BB202" s="231"/>
      <c r="BC202" s="231"/>
      <c r="BD202" s="231"/>
      <c r="BE202" s="231"/>
      <c r="BF202" s="231"/>
      <c r="BG202" s="231"/>
      <c r="BH202" s="234"/>
      <c r="BI202" s="235"/>
      <c r="BJ202" s="157"/>
    </row>
    <row r="203" spans="1:157" s="180" customFormat="1" ht="3" customHeight="1" thickBot="1" x14ac:dyDescent="0.25">
      <c r="B203" s="236"/>
      <c r="C203" s="236"/>
      <c r="D203" s="236"/>
      <c r="E203" s="236"/>
      <c r="F203" s="237"/>
      <c r="G203" s="237"/>
      <c r="H203" s="237"/>
      <c r="I203" s="237"/>
      <c r="J203" s="237"/>
      <c r="K203" s="237"/>
      <c r="L203" s="237"/>
      <c r="M203" s="237"/>
      <c r="N203" s="238"/>
      <c r="O203" s="238"/>
      <c r="P203" s="238"/>
      <c r="Q203" s="238"/>
      <c r="R203" s="238"/>
      <c r="S203" s="238"/>
      <c r="T203" s="238"/>
      <c r="U203" s="238"/>
      <c r="V203" s="238"/>
      <c r="W203" s="238"/>
      <c r="X203" s="238"/>
      <c r="Y203" s="238"/>
      <c r="Z203" s="238"/>
      <c r="AA203" s="238"/>
      <c r="AB203" s="238"/>
      <c r="AC203" s="238"/>
      <c r="AD203" s="238"/>
      <c r="AE203" s="238"/>
      <c r="AF203" s="238"/>
      <c r="AG203" s="238"/>
      <c r="AH203" s="238"/>
      <c r="AI203" s="238"/>
      <c r="AJ203" s="238"/>
      <c r="AK203" s="238"/>
      <c r="AL203" s="238"/>
      <c r="AM203" s="238"/>
      <c r="AN203" s="238"/>
      <c r="AO203" s="238"/>
      <c r="AP203" s="238"/>
      <c r="AQ203" s="239"/>
      <c r="AR203" s="238"/>
      <c r="AS203" s="238"/>
      <c r="AT203" s="238"/>
      <c r="AU203" s="238"/>
      <c r="AV203" s="238"/>
      <c r="AW203" s="238"/>
      <c r="AX203" s="238"/>
      <c r="AY203" s="238"/>
      <c r="AZ203" s="238"/>
      <c r="BA203" s="238"/>
      <c r="BB203" s="238"/>
      <c r="BC203" s="238"/>
      <c r="BD203" s="238"/>
      <c r="BE203" s="238"/>
      <c r="BF203" s="238"/>
      <c r="BG203" s="238"/>
      <c r="BH203" s="240"/>
      <c r="BI203" s="162"/>
      <c r="BJ203" s="162"/>
    </row>
    <row r="204" spans="1:157" s="192" customFormat="1" ht="22.5" hidden="1" customHeight="1" thickBot="1" x14ac:dyDescent="0.25">
      <c r="B204" s="188"/>
      <c r="C204" s="188"/>
      <c r="D204" s="188"/>
      <c r="E204" s="188"/>
      <c r="F204" s="526" t="s">
        <v>159</v>
      </c>
      <c r="G204" s="526"/>
      <c r="H204" s="526"/>
      <c r="I204" s="526"/>
      <c r="J204" s="526"/>
      <c r="K204" s="526"/>
      <c r="L204" s="526"/>
      <c r="M204" s="526"/>
      <c r="N204" s="241">
        <f t="shared" ref="N204:BH204" si="20">SUM(N196:N202)</f>
        <v>2715</v>
      </c>
      <c r="O204" s="241">
        <f t="shared" si="20"/>
        <v>2961</v>
      </c>
      <c r="P204" s="241">
        <f t="shared" si="20"/>
        <v>597</v>
      </c>
      <c r="Q204" s="241">
        <f t="shared" si="20"/>
        <v>830</v>
      </c>
      <c r="R204" s="241">
        <f t="shared" si="20"/>
        <v>3820</v>
      </c>
      <c r="S204" s="241">
        <f t="shared" si="20"/>
        <v>1041</v>
      </c>
      <c r="T204" s="241">
        <f t="shared" si="20"/>
        <v>730</v>
      </c>
      <c r="U204" s="241">
        <f t="shared" si="20"/>
        <v>2344</v>
      </c>
      <c r="V204" s="241">
        <f t="shared" si="20"/>
        <v>2183</v>
      </c>
      <c r="W204" s="241">
        <f t="shared" si="20"/>
        <v>0</v>
      </c>
      <c r="X204" s="241">
        <f t="shared" si="20"/>
        <v>1475</v>
      </c>
      <c r="Y204" s="241">
        <f t="shared" si="20"/>
        <v>350</v>
      </c>
      <c r="Z204" s="241">
        <f t="shared" si="20"/>
        <v>0</v>
      </c>
      <c r="AA204" s="241">
        <f t="shared" si="20"/>
        <v>320</v>
      </c>
      <c r="AB204" s="241">
        <f t="shared" si="20"/>
        <v>3929</v>
      </c>
      <c r="AC204" s="241">
        <f t="shared" si="20"/>
        <v>1913</v>
      </c>
      <c r="AD204" s="241">
        <f t="shared" si="20"/>
        <v>4180</v>
      </c>
      <c r="AE204" s="241">
        <f t="shared" si="20"/>
        <v>874</v>
      </c>
      <c r="AF204" s="241">
        <f t="shared" si="20"/>
        <v>1102</v>
      </c>
      <c r="AG204" s="241">
        <f t="shared" si="20"/>
        <v>525</v>
      </c>
      <c r="AH204" s="241">
        <f t="shared" si="20"/>
        <v>5573</v>
      </c>
      <c r="AI204" s="241">
        <f t="shared" si="20"/>
        <v>0</v>
      </c>
      <c r="AJ204" s="241">
        <f t="shared" si="20"/>
        <v>3087</v>
      </c>
      <c r="AK204" s="241">
        <f t="shared" si="20"/>
        <v>284</v>
      </c>
      <c r="AL204" s="241">
        <f t="shared" si="20"/>
        <v>590</v>
      </c>
      <c r="AM204" s="241">
        <f t="shared" si="20"/>
        <v>0</v>
      </c>
      <c r="AN204" s="241">
        <f t="shared" si="20"/>
        <v>1464</v>
      </c>
      <c r="AO204" s="241">
        <f t="shared" si="20"/>
        <v>636</v>
      </c>
      <c r="AP204" s="241">
        <f t="shared" si="20"/>
        <v>1512</v>
      </c>
      <c r="AQ204" s="242">
        <f t="shared" si="20"/>
        <v>1035</v>
      </c>
      <c r="AR204" s="241">
        <f t="shared" si="20"/>
        <v>2029</v>
      </c>
      <c r="AS204" s="241">
        <f t="shared" si="20"/>
        <v>3009</v>
      </c>
      <c r="AT204" s="241">
        <f t="shared" si="20"/>
        <v>2239</v>
      </c>
      <c r="AU204" s="241">
        <f t="shared" si="20"/>
        <v>1846</v>
      </c>
      <c r="AV204" s="241">
        <f t="shared" si="20"/>
        <v>3071</v>
      </c>
      <c r="AW204" s="241">
        <f t="shared" si="20"/>
        <v>2199</v>
      </c>
      <c r="AX204" s="241">
        <f t="shared" si="20"/>
        <v>1428</v>
      </c>
      <c r="AY204" s="241">
        <f t="shared" si="20"/>
        <v>0</v>
      </c>
      <c r="AZ204" s="241">
        <f t="shared" si="20"/>
        <v>3257</v>
      </c>
      <c r="BA204" s="241">
        <f t="shared" si="20"/>
        <v>0</v>
      </c>
      <c r="BB204" s="241">
        <f t="shared" si="20"/>
        <v>733</v>
      </c>
      <c r="BC204" s="241">
        <f t="shared" si="20"/>
        <v>1100</v>
      </c>
      <c r="BD204" s="241">
        <f t="shared" si="20"/>
        <v>755</v>
      </c>
      <c r="BE204" s="241">
        <f t="shared" si="20"/>
        <v>3713</v>
      </c>
      <c r="BF204" s="241">
        <f t="shared" si="20"/>
        <v>0</v>
      </c>
      <c r="BG204" s="241">
        <f t="shared" si="20"/>
        <v>5355</v>
      </c>
      <c r="BH204" s="243">
        <f t="shared" si="20"/>
        <v>0</v>
      </c>
      <c r="BJ204" s="157"/>
    </row>
    <row r="205" spans="1:157" s="226" customFormat="1" ht="15" customHeight="1" x14ac:dyDescent="0.2">
      <c r="B205" s="527" t="s">
        <v>160</v>
      </c>
      <c r="C205" s="528"/>
      <c r="D205" s="528"/>
      <c r="E205" s="529"/>
      <c r="F205" s="536" t="s">
        <v>161</v>
      </c>
      <c r="G205" s="537"/>
      <c r="H205" s="537"/>
      <c r="I205" s="537"/>
      <c r="J205" s="537"/>
      <c r="K205" s="537"/>
      <c r="L205" s="537"/>
      <c r="M205" s="538"/>
      <c r="N205" s="244"/>
      <c r="O205" s="245"/>
      <c r="P205" s="245"/>
      <c r="Q205" s="245"/>
      <c r="R205" s="245"/>
      <c r="S205" s="245"/>
      <c r="T205" s="245"/>
      <c r="U205" s="245"/>
      <c r="V205" s="245"/>
      <c r="W205" s="245"/>
      <c r="X205" s="246"/>
      <c r="Y205" s="244"/>
      <c r="Z205" s="245"/>
      <c r="AA205" s="245"/>
      <c r="AB205" s="245"/>
      <c r="AC205" s="245">
        <v>100</v>
      </c>
      <c r="AD205" s="245">
        <v>100</v>
      </c>
      <c r="AE205" s="245"/>
      <c r="AF205" s="245"/>
      <c r="AG205" s="245"/>
      <c r="AH205" s="247"/>
      <c r="AI205" s="244">
        <v>100</v>
      </c>
      <c r="AJ205" s="245"/>
      <c r="AK205" s="245"/>
      <c r="AL205" s="245"/>
      <c r="AM205" s="245"/>
      <c r="AN205" s="245">
        <v>100</v>
      </c>
      <c r="AO205" s="245"/>
      <c r="AP205" s="246"/>
      <c r="AQ205" s="244"/>
      <c r="AR205" s="245"/>
      <c r="AS205" s="245">
        <v>200</v>
      </c>
      <c r="AT205" s="245"/>
      <c r="AU205" s="245"/>
      <c r="AV205" s="245"/>
      <c r="AW205" s="245">
        <v>100</v>
      </c>
      <c r="AX205" s="245"/>
      <c r="AY205" s="245"/>
      <c r="AZ205" s="245"/>
      <c r="BA205" s="245"/>
      <c r="BB205" s="245"/>
      <c r="BC205" s="245"/>
      <c r="BD205" s="245"/>
      <c r="BE205" s="245"/>
      <c r="BF205" s="245"/>
      <c r="BG205" s="245"/>
      <c r="BH205" s="247"/>
      <c r="BJ205" s="157"/>
    </row>
    <row r="206" spans="1:157" s="226" customFormat="1" ht="15" customHeight="1" x14ac:dyDescent="0.2">
      <c r="B206" s="530"/>
      <c r="C206" s="531"/>
      <c r="D206" s="531"/>
      <c r="E206" s="532"/>
      <c r="F206" s="539" t="s">
        <v>162</v>
      </c>
      <c r="G206" s="540"/>
      <c r="H206" s="540"/>
      <c r="I206" s="540"/>
      <c r="J206" s="540"/>
      <c r="K206" s="540"/>
      <c r="L206" s="540"/>
      <c r="M206" s="541"/>
      <c r="N206" s="248"/>
      <c r="O206" s="249"/>
      <c r="P206" s="249"/>
      <c r="Q206" s="249"/>
      <c r="R206" s="249"/>
      <c r="S206" s="249"/>
      <c r="T206" s="249"/>
      <c r="U206" s="249"/>
      <c r="V206" s="249"/>
      <c r="W206" s="249"/>
      <c r="X206" s="250"/>
      <c r="Y206" s="248"/>
      <c r="Z206" s="249"/>
      <c r="AA206" s="249"/>
      <c r="AB206" s="249"/>
      <c r="AC206" s="249"/>
      <c r="AD206" s="249"/>
      <c r="AE206" s="249"/>
      <c r="AF206" s="249"/>
      <c r="AG206" s="249"/>
      <c r="AH206" s="251"/>
      <c r="AI206" s="248"/>
      <c r="AJ206" s="249"/>
      <c r="AK206" s="249"/>
      <c r="AL206" s="249"/>
      <c r="AM206" s="249"/>
      <c r="AN206" s="249"/>
      <c r="AO206" s="249"/>
      <c r="AP206" s="250"/>
      <c r="AQ206" s="248"/>
      <c r="AR206" s="249"/>
      <c r="AS206" s="249"/>
      <c r="AT206" s="249"/>
      <c r="AU206" s="249"/>
      <c r="AV206" s="249"/>
      <c r="AW206" s="249"/>
      <c r="AX206" s="249"/>
      <c r="AY206" s="249"/>
      <c r="AZ206" s="249"/>
      <c r="BA206" s="249"/>
      <c r="BB206" s="249"/>
      <c r="BC206" s="249"/>
      <c r="BD206" s="249"/>
      <c r="BE206" s="249"/>
      <c r="BF206" s="249"/>
      <c r="BG206" s="249"/>
      <c r="BH206" s="251"/>
      <c r="BJ206" s="157"/>
    </row>
    <row r="207" spans="1:157" s="226" customFormat="1" ht="15" customHeight="1" x14ac:dyDescent="0.2">
      <c r="B207" s="530"/>
      <c r="C207" s="531"/>
      <c r="D207" s="531"/>
      <c r="E207" s="532"/>
      <c r="F207" s="539" t="s">
        <v>163</v>
      </c>
      <c r="G207" s="540"/>
      <c r="H207" s="540"/>
      <c r="I207" s="540"/>
      <c r="J207" s="540"/>
      <c r="K207" s="540"/>
      <c r="L207" s="540"/>
      <c r="M207" s="541"/>
      <c r="N207" s="252">
        <f t="shared" ref="N207:BH207" si="21">IF(N187&lt;=0,0,IF(N187&lt;=10000,500,1000))</f>
        <v>500</v>
      </c>
      <c r="O207" s="253">
        <f t="shared" si="21"/>
        <v>500</v>
      </c>
      <c r="P207" s="253">
        <f t="shared" si="21"/>
        <v>500</v>
      </c>
      <c r="Q207" s="253">
        <v>-430</v>
      </c>
      <c r="R207" s="253">
        <f t="shared" si="21"/>
        <v>500</v>
      </c>
      <c r="S207" s="253">
        <f t="shared" si="21"/>
        <v>500</v>
      </c>
      <c r="T207" s="253">
        <v>500</v>
      </c>
      <c r="U207" s="253">
        <v>0</v>
      </c>
      <c r="V207" s="253"/>
      <c r="W207" s="253">
        <f t="shared" si="21"/>
        <v>500</v>
      </c>
      <c r="X207" s="254">
        <f t="shared" si="21"/>
        <v>500</v>
      </c>
      <c r="Y207" s="252">
        <f t="shared" si="21"/>
        <v>500</v>
      </c>
      <c r="Z207" s="253">
        <v>-840</v>
      </c>
      <c r="AA207" s="253">
        <f t="shared" si="21"/>
        <v>500</v>
      </c>
      <c r="AB207" s="253">
        <v>500</v>
      </c>
      <c r="AC207" s="253">
        <f t="shared" si="21"/>
        <v>500</v>
      </c>
      <c r="AD207" s="253">
        <v>500</v>
      </c>
      <c r="AE207" s="253">
        <v>500</v>
      </c>
      <c r="AF207" s="253">
        <v>200</v>
      </c>
      <c r="AG207" s="253">
        <v>470</v>
      </c>
      <c r="AH207" s="253">
        <v>0</v>
      </c>
      <c r="AI207" s="252">
        <f t="shared" si="21"/>
        <v>500</v>
      </c>
      <c r="AJ207" s="253">
        <f t="shared" si="21"/>
        <v>500</v>
      </c>
      <c r="AK207" s="253">
        <v>-50</v>
      </c>
      <c r="AL207" s="253">
        <v>-380</v>
      </c>
      <c r="AM207" s="253">
        <v>-150</v>
      </c>
      <c r="AN207" s="253">
        <f t="shared" si="21"/>
        <v>500</v>
      </c>
      <c r="AO207" s="253">
        <f t="shared" si="21"/>
        <v>500</v>
      </c>
      <c r="AP207" s="254">
        <f t="shared" si="21"/>
        <v>500</v>
      </c>
      <c r="AQ207" s="252">
        <v>0</v>
      </c>
      <c r="AR207" s="253">
        <f t="shared" si="21"/>
        <v>500</v>
      </c>
      <c r="AS207" s="253">
        <v>0</v>
      </c>
      <c r="AT207" s="253">
        <f t="shared" si="21"/>
        <v>500</v>
      </c>
      <c r="AU207" s="253">
        <v>500</v>
      </c>
      <c r="AV207" s="253">
        <v>0</v>
      </c>
      <c r="AW207" s="253">
        <v>0</v>
      </c>
      <c r="AX207" s="253">
        <f t="shared" si="21"/>
        <v>500</v>
      </c>
      <c r="AY207" s="253">
        <v>0</v>
      </c>
      <c r="AZ207" s="253">
        <v>500</v>
      </c>
      <c r="BA207" s="253">
        <f t="shared" si="21"/>
        <v>0</v>
      </c>
      <c r="BB207" s="253">
        <f t="shared" si="21"/>
        <v>500</v>
      </c>
      <c r="BC207" s="253">
        <v>250</v>
      </c>
      <c r="BD207" s="253">
        <f t="shared" si="21"/>
        <v>500</v>
      </c>
      <c r="BE207" s="253">
        <f t="shared" si="21"/>
        <v>500</v>
      </c>
      <c r="BF207" s="253">
        <f t="shared" si="21"/>
        <v>0</v>
      </c>
      <c r="BG207" s="253">
        <f t="shared" si="21"/>
        <v>1000</v>
      </c>
      <c r="BH207" s="255">
        <f t="shared" si="21"/>
        <v>0</v>
      </c>
      <c r="BJ207" s="157"/>
    </row>
    <row r="208" spans="1:157" s="226" customFormat="1" ht="15" customHeight="1" x14ac:dyDescent="0.2">
      <c r="B208" s="530"/>
      <c r="C208" s="531"/>
      <c r="D208" s="531"/>
      <c r="E208" s="532"/>
      <c r="F208" s="542" t="s">
        <v>164</v>
      </c>
      <c r="G208" s="543"/>
      <c r="H208" s="543"/>
      <c r="I208" s="543"/>
      <c r="J208" s="543"/>
      <c r="K208" s="543"/>
      <c r="L208" s="543"/>
      <c r="M208" s="544"/>
      <c r="N208" s="214"/>
      <c r="O208" s="256">
        <f>31+13</f>
        <v>44</v>
      </c>
      <c r="P208" s="256"/>
      <c r="Q208" s="256"/>
      <c r="R208" s="256">
        <v>73</v>
      </c>
      <c r="S208" s="256"/>
      <c r="T208" s="256">
        <f>40+1</f>
        <v>41</v>
      </c>
      <c r="U208" s="256">
        <f>25+10</f>
        <v>35</v>
      </c>
      <c r="V208" s="256">
        <f>28+25+1+94</f>
        <v>148</v>
      </c>
      <c r="W208" s="256"/>
      <c r="X208" s="257">
        <f>52+52+4+85</f>
        <v>193</v>
      </c>
      <c r="Y208" s="214"/>
      <c r="Z208" s="256"/>
      <c r="AA208" s="256"/>
      <c r="AB208" s="256">
        <v>19</v>
      </c>
      <c r="AC208" s="256">
        <f>10+166+70</f>
        <v>246</v>
      </c>
      <c r="AD208" s="256">
        <f>10+112</f>
        <v>122</v>
      </c>
      <c r="AE208" s="256">
        <v>61</v>
      </c>
      <c r="AF208" s="256">
        <v>94</v>
      </c>
      <c r="AG208" s="256">
        <f>139+145</f>
        <v>284</v>
      </c>
      <c r="AH208" s="257">
        <f>175+97+31+28+72</f>
        <v>403</v>
      </c>
      <c r="AI208" s="214"/>
      <c r="AJ208" s="256"/>
      <c r="AK208" s="256"/>
      <c r="AL208" s="256"/>
      <c r="AM208" s="256"/>
      <c r="AN208" s="256"/>
      <c r="AO208" s="256"/>
      <c r="AP208" s="257"/>
      <c r="AQ208" s="214">
        <f>343</f>
        <v>343</v>
      </c>
      <c r="AR208" s="256"/>
      <c r="AS208" s="256">
        <f>7+16+100+70+22</f>
        <v>215</v>
      </c>
      <c r="AT208" s="256">
        <f>40+118+61</f>
        <v>219</v>
      </c>
      <c r="AU208" s="256">
        <f>13+85+16+55+64</f>
        <v>233</v>
      </c>
      <c r="AV208" s="256">
        <f>106</f>
        <v>106</v>
      </c>
      <c r="AW208" s="256">
        <f>70+46</f>
        <v>116</v>
      </c>
      <c r="AX208" s="256"/>
      <c r="AY208" s="256"/>
      <c r="AZ208" s="256">
        <f>43</f>
        <v>43</v>
      </c>
      <c r="BA208" s="256"/>
      <c r="BB208" s="256"/>
      <c r="BC208" s="256">
        <f>28+109+13</f>
        <v>150</v>
      </c>
      <c r="BD208" s="256"/>
      <c r="BE208" s="256">
        <f>79+43</f>
        <v>122</v>
      </c>
      <c r="BF208" s="256"/>
      <c r="BG208" s="256">
        <f>49+22+94</f>
        <v>165</v>
      </c>
      <c r="BH208" s="258"/>
      <c r="BJ208" s="157"/>
    </row>
    <row r="209" spans="2:64" s="226" customFormat="1" ht="15" customHeight="1" thickBot="1" x14ac:dyDescent="0.25">
      <c r="B209" s="533"/>
      <c r="C209" s="534"/>
      <c r="D209" s="534"/>
      <c r="E209" s="535"/>
      <c r="F209" s="545" t="s">
        <v>165</v>
      </c>
      <c r="G209" s="546"/>
      <c r="H209" s="546"/>
      <c r="I209" s="546"/>
      <c r="J209" s="546"/>
      <c r="K209" s="546"/>
      <c r="L209" s="546"/>
      <c r="M209" s="547"/>
      <c r="N209" s="259"/>
      <c r="O209" s="260"/>
      <c r="P209" s="260"/>
      <c r="Q209" s="260"/>
      <c r="R209" s="260"/>
      <c r="S209" s="260"/>
      <c r="T209" s="260"/>
      <c r="U209" s="260"/>
      <c r="V209" s="260"/>
      <c r="W209" s="260"/>
      <c r="X209" s="261"/>
      <c r="Y209" s="259"/>
      <c r="Z209" s="260"/>
      <c r="AA209" s="260"/>
      <c r="AB209" s="260"/>
      <c r="AC209" s="260"/>
      <c r="AD209" s="260"/>
      <c r="AE209" s="260"/>
      <c r="AF209" s="260"/>
      <c r="AG209" s="260"/>
      <c r="AH209" s="262"/>
      <c r="AI209" s="259"/>
      <c r="AJ209" s="260"/>
      <c r="AK209" s="260"/>
      <c r="AL209" s="260"/>
      <c r="AM209" s="260"/>
      <c r="AN209" s="260"/>
      <c r="AO209" s="260"/>
      <c r="AP209" s="261"/>
      <c r="AQ209" s="259"/>
      <c r="AR209" s="260"/>
      <c r="AS209" s="260"/>
      <c r="AT209" s="260"/>
      <c r="AU209" s="260"/>
      <c r="AV209" s="260"/>
      <c r="AW209" s="260"/>
      <c r="AX209" s="260"/>
      <c r="AY209" s="260"/>
      <c r="AZ209" s="260"/>
      <c r="BA209" s="260"/>
      <c r="BB209" s="260"/>
      <c r="BC209" s="260"/>
      <c r="BD209" s="260"/>
      <c r="BE209" s="260"/>
      <c r="BF209" s="260"/>
      <c r="BG209" s="260"/>
      <c r="BH209" s="262"/>
      <c r="BJ209" s="157"/>
    </row>
    <row r="210" spans="2:64" s="268" customFormat="1" ht="3" customHeight="1" thickBot="1" x14ac:dyDescent="0.25">
      <c r="B210" s="263"/>
      <c r="C210" s="263"/>
      <c r="D210" s="263"/>
      <c r="E210" s="263"/>
      <c r="F210" s="264"/>
      <c r="G210" s="264"/>
      <c r="H210" s="264"/>
      <c r="I210" s="264"/>
      <c r="J210" s="264"/>
      <c r="K210" s="264"/>
      <c r="L210" s="264"/>
      <c r="M210" s="264"/>
      <c r="N210" s="265"/>
      <c r="O210" s="265"/>
      <c r="P210" s="265"/>
      <c r="Q210" s="265"/>
      <c r="R210" s="265"/>
      <c r="S210" s="265"/>
      <c r="T210" s="265"/>
      <c r="U210" s="265"/>
      <c r="V210" s="265"/>
      <c r="W210" s="265"/>
      <c r="X210" s="265"/>
      <c r="Y210" s="266"/>
      <c r="Z210" s="265"/>
      <c r="AA210" s="265"/>
      <c r="AB210" s="265"/>
      <c r="AC210" s="265"/>
      <c r="AD210" s="265"/>
      <c r="AE210" s="265"/>
      <c r="AF210" s="265"/>
      <c r="AG210" s="265"/>
      <c r="AH210" s="265"/>
      <c r="AI210" s="265"/>
      <c r="AJ210" s="265"/>
      <c r="AK210" s="265"/>
      <c r="AL210" s="265"/>
      <c r="AM210" s="265"/>
      <c r="AN210" s="265"/>
      <c r="AO210" s="265"/>
      <c r="AP210" s="265"/>
      <c r="AQ210" s="266"/>
      <c r="AR210" s="265"/>
      <c r="AS210" s="265"/>
      <c r="AT210" s="265"/>
      <c r="AU210" s="265"/>
      <c r="AV210" s="265"/>
      <c r="AW210" s="265"/>
      <c r="AX210" s="265"/>
      <c r="AY210" s="265"/>
      <c r="AZ210" s="265"/>
      <c r="BA210" s="265"/>
      <c r="BB210" s="265"/>
      <c r="BC210" s="265"/>
      <c r="BD210" s="265"/>
      <c r="BE210" s="265"/>
      <c r="BF210" s="265"/>
      <c r="BG210" s="265"/>
      <c r="BH210" s="267"/>
      <c r="BJ210" s="157"/>
    </row>
    <row r="211" spans="2:64" s="273" customFormat="1" ht="26.25" hidden="1" customHeight="1" thickBot="1" x14ac:dyDescent="0.25">
      <c r="B211" s="269"/>
      <c r="C211" s="269"/>
      <c r="D211" s="269"/>
      <c r="E211" s="269"/>
      <c r="F211" s="503" t="s">
        <v>166</v>
      </c>
      <c r="G211" s="503"/>
      <c r="H211" s="503"/>
      <c r="I211" s="503"/>
      <c r="J211" s="503"/>
      <c r="K211" s="503"/>
      <c r="L211" s="503"/>
      <c r="M211" s="503"/>
      <c r="N211" s="270">
        <f t="shared" ref="N211:BH211" si="22">SUM(N205:N209)</f>
        <v>500</v>
      </c>
      <c r="O211" s="270">
        <f t="shared" si="22"/>
        <v>544</v>
      </c>
      <c r="P211" s="270">
        <f t="shared" si="22"/>
        <v>500</v>
      </c>
      <c r="Q211" s="270">
        <f t="shared" si="22"/>
        <v>-430</v>
      </c>
      <c r="R211" s="270">
        <f t="shared" si="22"/>
        <v>573</v>
      </c>
      <c r="S211" s="270">
        <f t="shared" si="22"/>
        <v>500</v>
      </c>
      <c r="T211" s="270">
        <f t="shared" si="22"/>
        <v>541</v>
      </c>
      <c r="U211" s="270">
        <f t="shared" si="22"/>
        <v>35</v>
      </c>
      <c r="V211" s="270">
        <f t="shared" si="22"/>
        <v>148</v>
      </c>
      <c r="W211" s="270">
        <f t="shared" si="22"/>
        <v>500</v>
      </c>
      <c r="X211" s="270">
        <f t="shared" si="22"/>
        <v>693</v>
      </c>
      <c r="Y211" s="271">
        <f t="shared" si="22"/>
        <v>500</v>
      </c>
      <c r="Z211" s="270">
        <f t="shared" si="22"/>
        <v>-840</v>
      </c>
      <c r="AA211" s="270">
        <f t="shared" si="22"/>
        <v>500</v>
      </c>
      <c r="AB211" s="270">
        <f t="shared" si="22"/>
        <v>519</v>
      </c>
      <c r="AC211" s="270">
        <f t="shared" si="22"/>
        <v>846</v>
      </c>
      <c r="AD211" s="270">
        <f t="shared" si="22"/>
        <v>722</v>
      </c>
      <c r="AE211" s="270">
        <f t="shared" si="22"/>
        <v>561</v>
      </c>
      <c r="AF211" s="270">
        <f t="shared" si="22"/>
        <v>294</v>
      </c>
      <c r="AG211" s="270">
        <f t="shared" si="22"/>
        <v>754</v>
      </c>
      <c r="AH211" s="270">
        <f t="shared" si="22"/>
        <v>403</v>
      </c>
      <c r="AI211" s="270">
        <f t="shared" si="22"/>
        <v>600</v>
      </c>
      <c r="AJ211" s="270">
        <f t="shared" si="22"/>
        <v>500</v>
      </c>
      <c r="AK211" s="270">
        <f t="shared" si="22"/>
        <v>-50</v>
      </c>
      <c r="AL211" s="270">
        <f t="shared" si="22"/>
        <v>-380</v>
      </c>
      <c r="AM211" s="270">
        <f t="shared" si="22"/>
        <v>-150</v>
      </c>
      <c r="AN211" s="270">
        <f t="shared" si="22"/>
        <v>600</v>
      </c>
      <c r="AO211" s="270">
        <f t="shared" si="22"/>
        <v>500</v>
      </c>
      <c r="AP211" s="270">
        <f t="shared" si="22"/>
        <v>500</v>
      </c>
      <c r="AQ211" s="271">
        <f t="shared" si="22"/>
        <v>343</v>
      </c>
      <c r="AR211" s="270">
        <f t="shared" si="22"/>
        <v>500</v>
      </c>
      <c r="AS211" s="270">
        <f t="shared" si="22"/>
        <v>415</v>
      </c>
      <c r="AT211" s="270">
        <f t="shared" si="22"/>
        <v>719</v>
      </c>
      <c r="AU211" s="270">
        <f t="shared" si="22"/>
        <v>733</v>
      </c>
      <c r="AV211" s="270">
        <f t="shared" si="22"/>
        <v>106</v>
      </c>
      <c r="AW211" s="270">
        <f t="shared" si="22"/>
        <v>216</v>
      </c>
      <c r="AX211" s="270">
        <f t="shared" si="22"/>
        <v>500</v>
      </c>
      <c r="AY211" s="270">
        <f t="shared" si="22"/>
        <v>0</v>
      </c>
      <c r="AZ211" s="270">
        <f t="shared" si="22"/>
        <v>543</v>
      </c>
      <c r="BA211" s="270">
        <f t="shared" si="22"/>
        <v>0</v>
      </c>
      <c r="BB211" s="270">
        <f t="shared" si="22"/>
        <v>500</v>
      </c>
      <c r="BC211" s="270">
        <f t="shared" si="22"/>
        <v>400</v>
      </c>
      <c r="BD211" s="270">
        <f t="shared" si="22"/>
        <v>500</v>
      </c>
      <c r="BE211" s="270">
        <f t="shared" si="22"/>
        <v>622</v>
      </c>
      <c r="BF211" s="270">
        <f t="shared" si="22"/>
        <v>0</v>
      </c>
      <c r="BG211" s="270">
        <f t="shared" si="22"/>
        <v>1165</v>
      </c>
      <c r="BH211" s="272">
        <f t="shared" si="22"/>
        <v>0</v>
      </c>
      <c r="BJ211" s="157"/>
    </row>
    <row r="212" spans="2:64" s="278" customFormat="1" ht="15" customHeight="1" x14ac:dyDescent="0.2">
      <c r="B212" s="504" t="s">
        <v>167</v>
      </c>
      <c r="C212" s="505"/>
      <c r="D212" s="505"/>
      <c r="E212" s="506"/>
      <c r="F212" s="513" t="s">
        <v>168</v>
      </c>
      <c r="G212" s="514"/>
      <c r="H212" s="514"/>
      <c r="I212" s="514"/>
      <c r="J212" s="514"/>
      <c r="K212" s="514"/>
      <c r="L212" s="514"/>
      <c r="M212" s="514"/>
      <c r="N212" s="274"/>
      <c r="O212" s="275"/>
      <c r="P212" s="275"/>
      <c r="Q212" s="275"/>
      <c r="R212" s="275"/>
      <c r="S212" s="275"/>
      <c r="T212" s="275"/>
      <c r="U212" s="275"/>
      <c r="V212" s="275"/>
      <c r="W212" s="275"/>
      <c r="X212" s="276"/>
      <c r="Y212" s="274"/>
      <c r="Z212" s="275"/>
      <c r="AA212" s="275"/>
      <c r="AB212" s="275"/>
      <c r="AC212" s="275"/>
      <c r="AD212" s="275"/>
      <c r="AE212" s="275"/>
      <c r="AF212" s="275"/>
      <c r="AG212" s="275"/>
      <c r="AH212" s="277"/>
      <c r="AI212" s="274"/>
      <c r="AJ212" s="275"/>
      <c r="AK212" s="275"/>
      <c r="AL212" s="275"/>
      <c r="AM212" s="275"/>
      <c r="AN212" s="275"/>
      <c r="AO212" s="275"/>
      <c r="AP212" s="276"/>
      <c r="AQ212" s="274"/>
      <c r="AR212" s="275"/>
      <c r="AS212" s="275"/>
      <c r="AT212" s="275"/>
      <c r="AU212" s="275"/>
      <c r="AV212" s="275"/>
      <c r="AW212" s="275"/>
      <c r="AX212" s="275"/>
      <c r="AY212" s="275"/>
      <c r="AZ212" s="275"/>
      <c r="BA212" s="275"/>
      <c r="BB212" s="275"/>
      <c r="BC212" s="275"/>
      <c r="BD212" s="275"/>
      <c r="BE212" s="275"/>
      <c r="BF212" s="275"/>
      <c r="BG212" s="275"/>
      <c r="BH212" s="277"/>
      <c r="BJ212" s="157"/>
    </row>
    <row r="213" spans="2:64" s="283" customFormat="1" ht="15" customHeight="1" x14ac:dyDescent="0.2">
      <c r="B213" s="507"/>
      <c r="C213" s="508"/>
      <c r="D213" s="508"/>
      <c r="E213" s="509"/>
      <c r="F213" s="515" t="s">
        <v>169</v>
      </c>
      <c r="G213" s="516"/>
      <c r="H213" s="516"/>
      <c r="I213" s="516"/>
      <c r="J213" s="516"/>
      <c r="K213" s="516"/>
      <c r="L213" s="516"/>
      <c r="M213" s="516"/>
      <c r="N213" s="279"/>
      <c r="O213" s="280"/>
      <c r="P213" s="280"/>
      <c r="Q213" s="280"/>
      <c r="R213" s="280"/>
      <c r="S213" s="280"/>
      <c r="T213" s="280"/>
      <c r="U213" s="280"/>
      <c r="V213" s="280"/>
      <c r="W213" s="280"/>
      <c r="X213" s="281"/>
      <c r="Y213" s="279"/>
      <c r="Z213" s="280"/>
      <c r="AA213" s="280"/>
      <c r="AB213" s="280"/>
      <c r="AC213" s="280"/>
      <c r="AD213" s="280"/>
      <c r="AE213" s="280"/>
      <c r="AF213" s="280"/>
      <c r="AG213" s="280"/>
      <c r="AH213" s="282"/>
      <c r="AI213" s="279"/>
      <c r="AJ213" s="280"/>
      <c r="AK213" s="280"/>
      <c r="AL213" s="280"/>
      <c r="AM213" s="280"/>
      <c r="AN213" s="280"/>
      <c r="AO213" s="280"/>
      <c r="AP213" s="281"/>
      <c r="AQ213" s="279"/>
      <c r="AR213" s="280"/>
      <c r="AS213" s="280"/>
      <c r="AT213" s="280"/>
      <c r="AU213" s="280"/>
      <c r="AV213" s="280"/>
      <c r="AW213" s="280"/>
      <c r="AX213" s="280"/>
      <c r="AY213" s="280"/>
      <c r="AZ213" s="280"/>
      <c r="BA213" s="280"/>
      <c r="BB213" s="280"/>
      <c r="BC213" s="280"/>
      <c r="BD213" s="280"/>
      <c r="BE213" s="280"/>
      <c r="BF213" s="280"/>
      <c r="BG213" s="280"/>
      <c r="BH213" s="282"/>
      <c r="BJ213" s="157"/>
    </row>
    <row r="214" spans="2:64" s="283" customFormat="1" ht="15" customHeight="1" thickBot="1" x14ac:dyDescent="0.25">
      <c r="B214" s="510"/>
      <c r="C214" s="511"/>
      <c r="D214" s="511"/>
      <c r="E214" s="512"/>
      <c r="F214" s="517" t="s">
        <v>170</v>
      </c>
      <c r="G214" s="518"/>
      <c r="H214" s="518"/>
      <c r="I214" s="518"/>
      <c r="J214" s="518"/>
      <c r="K214" s="518"/>
      <c r="L214" s="518"/>
      <c r="M214" s="518"/>
      <c r="N214" s="284">
        <f t="shared" ref="N214:BH214" si="23">N187-N217-N201-N199-N198-N197-N196-N191-N212-N200</f>
        <v>2915</v>
      </c>
      <c r="O214" s="285">
        <f t="shared" si="23"/>
        <v>2162</v>
      </c>
      <c r="P214" s="285">
        <f t="shared" si="23"/>
        <v>2700</v>
      </c>
      <c r="Q214" s="285">
        <f t="shared" si="23"/>
        <v>2933</v>
      </c>
      <c r="R214" s="285">
        <f t="shared" si="23"/>
        <v>2953</v>
      </c>
      <c r="S214" s="285">
        <f t="shared" si="23"/>
        <v>2612</v>
      </c>
      <c r="T214" s="285">
        <f t="shared" si="23"/>
        <v>2052</v>
      </c>
      <c r="U214" s="285">
        <f t="shared" si="23"/>
        <v>3613</v>
      </c>
      <c r="V214" s="285">
        <f t="shared" si="23"/>
        <v>2832</v>
      </c>
      <c r="W214" s="285">
        <f t="shared" si="23"/>
        <v>2299</v>
      </c>
      <c r="X214" s="286">
        <f t="shared" si="23"/>
        <v>1561</v>
      </c>
      <c r="Y214" s="284">
        <f t="shared" si="23"/>
        <v>1582</v>
      </c>
      <c r="Z214" s="285">
        <f t="shared" si="23"/>
        <v>2061</v>
      </c>
      <c r="AA214" s="285">
        <f t="shared" si="23"/>
        <v>2964</v>
      </c>
      <c r="AB214" s="285">
        <f t="shared" si="23"/>
        <v>3809</v>
      </c>
      <c r="AC214" s="285">
        <f t="shared" si="23"/>
        <v>2440</v>
      </c>
      <c r="AD214" s="285">
        <f t="shared" si="23"/>
        <v>3556</v>
      </c>
      <c r="AE214" s="285">
        <f t="shared" si="23"/>
        <v>4026</v>
      </c>
      <c r="AF214" s="285">
        <f t="shared" si="23"/>
        <v>2325</v>
      </c>
      <c r="AG214" s="285">
        <f t="shared" si="23"/>
        <v>2291</v>
      </c>
      <c r="AH214" s="287">
        <f t="shared" si="23"/>
        <v>4003</v>
      </c>
      <c r="AI214" s="284">
        <f t="shared" si="23"/>
        <v>767</v>
      </c>
      <c r="AJ214" s="285">
        <f t="shared" si="23"/>
        <v>3011</v>
      </c>
      <c r="AK214" s="285">
        <f t="shared" si="23"/>
        <v>2607</v>
      </c>
      <c r="AL214" s="285">
        <f t="shared" si="23"/>
        <v>2830</v>
      </c>
      <c r="AM214" s="285">
        <f t="shared" si="23"/>
        <v>688</v>
      </c>
      <c r="AN214" s="285">
        <f t="shared" si="23"/>
        <v>2087</v>
      </c>
      <c r="AO214" s="285">
        <f t="shared" si="23"/>
        <v>2314</v>
      </c>
      <c r="AP214" s="286">
        <f t="shared" si="23"/>
        <v>2774</v>
      </c>
      <c r="AQ214" s="284">
        <f t="shared" si="23"/>
        <v>2172</v>
      </c>
      <c r="AR214" s="285">
        <f t="shared" si="23"/>
        <v>2752</v>
      </c>
      <c r="AS214" s="285">
        <f t="shared" si="23"/>
        <v>3105</v>
      </c>
      <c r="AT214" s="285">
        <f t="shared" si="23"/>
        <v>2900</v>
      </c>
      <c r="AU214" s="285">
        <f t="shared" si="23"/>
        <v>3306</v>
      </c>
      <c r="AV214" s="285">
        <f t="shared" si="23"/>
        <v>2998</v>
      </c>
      <c r="AW214" s="285">
        <f t="shared" si="23"/>
        <v>3638</v>
      </c>
      <c r="AX214" s="285">
        <f t="shared" si="23"/>
        <v>2359</v>
      </c>
      <c r="AY214" s="285">
        <f t="shared" si="23"/>
        <v>2432</v>
      </c>
      <c r="AZ214" s="285">
        <f t="shared" si="23"/>
        <v>3924</v>
      </c>
      <c r="BA214" s="285">
        <f t="shared" si="23"/>
        <v>0</v>
      </c>
      <c r="BB214" s="285">
        <f t="shared" si="23"/>
        <v>2854</v>
      </c>
      <c r="BC214" s="285">
        <f t="shared" si="23"/>
        <v>2158</v>
      </c>
      <c r="BD214" s="285">
        <f t="shared" si="23"/>
        <v>2011</v>
      </c>
      <c r="BE214" s="285">
        <f t="shared" si="23"/>
        <v>3138</v>
      </c>
      <c r="BF214" s="285">
        <f t="shared" si="23"/>
        <v>0</v>
      </c>
      <c r="BG214" s="285">
        <f t="shared" si="23"/>
        <v>3498</v>
      </c>
      <c r="BH214" s="287">
        <f t="shared" si="23"/>
        <v>0</v>
      </c>
      <c r="BJ214" s="157"/>
    </row>
    <row r="215" spans="2:64" s="278" customFormat="1" ht="3" customHeight="1" thickBot="1" x14ac:dyDescent="0.25">
      <c r="B215" s="288"/>
      <c r="C215" s="288"/>
      <c r="D215" s="288"/>
      <c r="E215" s="288"/>
      <c r="F215" s="289"/>
      <c r="G215" s="289"/>
      <c r="H215" s="289"/>
      <c r="I215" s="289"/>
      <c r="J215" s="289"/>
      <c r="K215" s="289"/>
      <c r="L215" s="289"/>
      <c r="M215" s="289"/>
      <c r="N215" s="290"/>
      <c r="O215" s="290"/>
      <c r="P215" s="290"/>
      <c r="Q215" s="290"/>
      <c r="R215" s="290"/>
      <c r="S215" s="290"/>
      <c r="T215" s="290"/>
      <c r="U215" s="290"/>
      <c r="V215" s="290"/>
      <c r="W215" s="290"/>
      <c r="X215" s="290"/>
      <c r="Y215" s="291"/>
      <c r="Z215" s="290"/>
      <c r="AA215" s="290"/>
      <c r="AB215" s="290"/>
      <c r="AC215" s="290"/>
      <c r="AD215" s="290"/>
      <c r="AE215" s="290"/>
      <c r="AF215" s="290"/>
      <c r="AG215" s="290"/>
      <c r="AH215" s="290"/>
      <c r="AI215" s="290"/>
      <c r="AJ215" s="290"/>
      <c r="AK215" s="290"/>
      <c r="AL215" s="290"/>
      <c r="AM215" s="290"/>
      <c r="AN215" s="290"/>
      <c r="AO215" s="290"/>
      <c r="AP215" s="290"/>
      <c r="AQ215" s="291"/>
      <c r="AR215" s="290"/>
      <c r="AS215" s="290"/>
      <c r="AT215" s="290"/>
      <c r="AU215" s="290"/>
      <c r="AV215" s="290"/>
      <c r="AW215" s="290"/>
      <c r="AX215" s="290"/>
      <c r="AY215" s="290"/>
      <c r="AZ215" s="290"/>
      <c r="BA215" s="290"/>
      <c r="BB215" s="290"/>
      <c r="BC215" s="290"/>
      <c r="BD215" s="290"/>
      <c r="BE215" s="290"/>
      <c r="BF215" s="290"/>
      <c r="BG215" s="290"/>
      <c r="BH215" s="292"/>
      <c r="BJ215" s="157"/>
    </row>
    <row r="216" spans="2:64" s="273" customFormat="1" ht="25.5" hidden="1" customHeight="1" thickBot="1" x14ac:dyDescent="0.25">
      <c r="B216" s="293"/>
      <c r="C216" s="293"/>
      <c r="D216" s="293"/>
      <c r="E216" s="293"/>
      <c r="F216" s="519" t="s">
        <v>171</v>
      </c>
      <c r="G216" s="519"/>
      <c r="H216" s="519"/>
      <c r="I216" s="519"/>
      <c r="J216" s="519"/>
      <c r="K216" s="519"/>
      <c r="L216" s="519"/>
      <c r="M216" s="519"/>
      <c r="N216" s="294">
        <f t="shared" ref="N216:BH216" si="24">(N193*N194%)-N204+N211-N192</f>
        <v>2915</v>
      </c>
      <c r="O216" s="294">
        <f t="shared" si="24"/>
        <v>1634.7999999999997</v>
      </c>
      <c r="P216" s="294">
        <f t="shared" si="24"/>
        <v>4707.2</v>
      </c>
      <c r="Q216" s="294">
        <f t="shared" si="24"/>
        <v>2497.7999999999997</v>
      </c>
      <c r="R216" s="294">
        <f t="shared" si="24"/>
        <v>2040.8000000000002</v>
      </c>
      <c r="S216" s="294">
        <f t="shared" si="24"/>
        <v>4122.8</v>
      </c>
      <c r="T216" s="294">
        <f t="shared" si="24"/>
        <v>3706.2</v>
      </c>
      <c r="U216" s="294">
        <f t="shared" si="24"/>
        <v>3167.2</v>
      </c>
      <c r="V216" s="294">
        <f t="shared" si="24"/>
        <v>2432</v>
      </c>
      <c r="W216" s="294">
        <f t="shared" si="24"/>
        <v>4693.3999999999996</v>
      </c>
      <c r="X216" s="294">
        <f t="shared" si="24"/>
        <v>2599.6</v>
      </c>
      <c r="Y216" s="295">
        <f t="shared" si="24"/>
        <v>3277.2</v>
      </c>
      <c r="Z216" s="294">
        <f t="shared" si="24"/>
        <v>984.59999999999991</v>
      </c>
      <c r="AA216" s="294">
        <f t="shared" si="24"/>
        <v>5378.4</v>
      </c>
      <c r="AB216" s="294">
        <f t="shared" si="24"/>
        <v>3086.8</v>
      </c>
      <c r="AC216" s="294">
        <f t="shared" si="24"/>
        <v>3860.8</v>
      </c>
      <c r="AD216" s="294">
        <f t="shared" si="24"/>
        <v>2965.5999999999995</v>
      </c>
      <c r="AE216" s="294">
        <f t="shared" si="24"/>
        <v>6575</v>
      </c>
      <c r="AF216" s="294">
        <f t="shared" si="24"/>
        <v>3120.2</v>
      </c>
      <c r="AG216" s="294">
        <f t="shared" si="24"/>
        <v>4798.5999999999995</v>
      </c>
      <c r="AH216" s="294">
        <f t="shared" si="24"/>
        <v>1433.5999999999995</v>
      </c>
      <c r="AI216" s="294">
        <f t="shared" si="24"/>
        <v>2650.2</v>
      </c>
      <c r="AJ216" s="294">
        <f t="shared" si="24"/>
        <v>2685.8</v>
      </c>
      <c r="AK216" s="294">
        <f t="shared" si="24"/>
        <v>3500.6</v>
      </c>
      <c r="AL216" s="294">
        <f t="shared" si="24"/>
        <v>2708</v>
      </c>
      <c r="AM216" s="294">
        <f t="shared" si="24"/>
        <v>652.79999999999995</v>
      </c>
      <c r="AN216" s="294">
        <f t="shared" si="24"/>
        <v>3162.6</v>
      </c>
      <c r="AO216" s="294">
        <f t="shared" si="24"/>
        <v>4082</v>
      </c>
      <c r="AP216" s="294">
        <f t="shared" si="24"/>
        <v>3893.5999999999995</v>
      </c>
      <c r="AQ216" s="295">
        <f t="shared" si="24"/>
        <v>3086.2</v>
      </c>
      <c r="AR216" s="294">
        <f t="shared" si="24"/>
        <v>3343.5999999999995</v>
      </c>
      <c r="AS216" s="294">
        <f t="shared" si="24"/>
        <v>2688.3999999999996</v>
      </c>
      <c r="AT216" s="294">
        <f t="shared" si="24"/>
        <v>3909.3999999999996</v>
      </c>
      <c r="AU216" s="294">
        <f t="shared" si="24"/>
        <v>4948.2</v>
      </c>
      <c r="AV216" s="294">
        <f t="shared" si="24"/>
        <v>1684.3999999999996</v>
      </c>
      <c r="AW216" s="294">
        <f t="shared" si="24"/>
        <v>3793.2</v>
      </c>
      <c r="AX216" s="294">
        <f t="shared" si="24"/>
        <v>3354.2</v>
      </c>
      <c r="AY216" s="294">
        <f t="shared" si="24"/>
        <v>3649.2</v>
      </c>
      <c r="AZ216" s="294">
        <f t="shared" si="24"/>
        <v>3982.5999999999995</v>
      </c>
      <c r="BA216" s="294">
        <f t="shared" si="24"/>
        <v>0</v>
      </c>
      <c r="BB216" s="294">
        <f t="shared" si="24"/>
        <v>4799.2</v>
      </c>
      <c r="BC216" s="294">
        <f t="shared" si="24"/>
        <v>3132.7999999999997</v>
      </c>
      <c r="BD216" s="294">
        <f t="shared" si="24"/>
        <v>3504.6</v>
      </c>
      <c r="BE216" s="294">
        <f t="shared" si="24"/>
        <v>2555.5999999999995</v>
      </c>
      <c r="BF216" s="294">
        <f t="shared" si="24"/>
        <v>0</v>
      </c>
      <c r="BG216" s="294">
        <f t="shared" si="24"/>
        <v>2807.8</v>
      </c>
      <c r="BH216" s="296">
        <f t="shared" si="24"/>
        <v>0</v>
      </c>
      <c r="BJ216" s="157"/>
    </row>
    <row r="217" spans="2:64" ht="15" customHeight="1" thickBot="1" x14ac:dyDescent="0.25">
      <c r="B217" s="485" t="s">
        <v>172</v>
      </c>
      <c r="C217" s="486"/>
      <c r="D217" s="486"/>
      <c r="E217" s="486"/>
      <c r="F217" s="486"/>
      <c r="G217" s="486"/>
      <c r="H217" s="486"/>
      <c r="I217" s="486"/>
      <c r="J217" s="486"/>
      <c r="K217" s="486"/>
      <c r="L217" s="486"/>
      <c r="M217" s="486"/>
      <c r="N217" s="297">
        <f t="shared" ref="N217:BH217" si="25">IF(ROUND(N216,-1)=500,0,ROUND(N216,-1))</f>
        <v>2920</v>
      </c>
      <c r="O217" s="298">
        <f t="shared" si="25"/>
        <v>1630</v>
      </c>
      <c r="P217" s="298">
        <f t="shared" si="25"/>
        <v>4710</v>
      </c>
      <c r="Q217" s="298">
        <f t="shared" si="25"/>
        <v>2500</v>
      </c>
      <c r="R217" s="298">
        <f t="shared" si="25"/>
        <v>2040</v>
      </c>
      <c r="S217" s="298">
        <f t="shared" si="25"/>
        <v>4120</v>
      </c>
      <c r="T217" s="298">
        <f t="shared" si="25"/>
        <v>3710</v>
      </c>
      <c r="U217" s="298">
        <f t="shared" si="25"/>
        <v>3170</v>
      </c>
      <c r="V217" s="298">
        <f t="shared" si="25"/>
        <v>2430</v>
      </c>
      <c r="W217" s="298">
        <f t="shared" si="25"/>
        <v>4690</v>
      </c>
      <c r="X217" s="299">
        <f t="shared" si="25"/>
        <v>2600</v>
      </c>
      <c r="Y217" s="297">
        <f t="shared" si="25"/>
        <v>3280</v>
      </c>
      <c r="Z217" s="298">
        <f t="shared" si="25"/>
        <v>980</v>
      </c>
      <c r="AA217" s="298">
        <f t="shared" si="25"/>
        <v>5380</v>
      </c>
      <c r="AB217" s="298">
        <f t="shared" si="25"/>
        <v>3090</v>
      </c>
      <c r="AC217" s="298">
        <f t="shared" si="25"/>
        <v>3860</v>
      </c>
      <c r="AD217" s="298">
        <f t="shared" si="25"/>
        <v>2970</v>
      </c>
      <c r="AE217" s="298">
        <f t="shared" si="25"/>
        <v>6580</v>
      </c>
      <c r="AF217" s="298">
        <f t="shared" si="25"/>
        <v>3120</v>
      </c>
      <c r="AG217" s="298">
        <f t="shared" si="25"/>
        <v>4800</v>
      </c>
      <c r="AH217" s="300">
        <f t="shared" si="25"/>
        <v>1430</v>
      </c>
      <c r="AI217" s="297">
        <f t="shared" si="25"/>
        <v>2650</v>
      </c>
      <c r="AJ217" s="298">
        <f t="shared" si="25"/>
        <v>2690</v>
      </c>
      <c r="AK217" s="298">
        <f t="shared" si="25"/>
        <v>3500</v>
      </c>
      <c r="AL217" s="298">
        <f t="shared" si="25"/>
        <v>2710</v>
      </c>
      <c r="AM217" s="298">
        <f t="shared" si="25"/>
        <v>650</v>
      </c>
      <c r="AN217" s="298">
        <f t="shared" si="25"/>
        <v>3160</v>
      </c>
      <c r="AO217" s="298">
        <f t="shared" si="25"/>
        <v>4080</v>
      </c>
      <c r="AP217" s="299">
        <f t="shared" si="25"/>
        <v>3890</v>
      </c>
      <c r="AQ217" s="297">
        <f t="shared" si="25"/>
        <v>3090</v>
      </c>
      <c r="AR217" s="298">
        <f t="shared" si="25"/>
        <v>3340</v>
      </c>
      <c r="AS217" s="298">
        <f t="shared" si="25"/>
        <v>2690</v>
      </c>
      <c r="AT217" s="298">
        <f t="shared" si="25"/>
        <v>3910</v>
      </c>
      <c r="AU217" s="298">
        <f t="shared" si="25"/>
        <v>4950</v>
      </c>
      <c r="AV217" s="298">
        <f t="shared" si="25"/>
        <v>1680</v>
      </c>
      <c r="AW217" s="298">
        <f t="shared" si="25"/>
        <v>3790</v>
      </c>
      <c r="AX217" s="298">
        <f t="shared" si="25"/>
        <v>3350</v>
      </c>
      <c r="AY217" s="298">
        <f t="shared" si="25"/>
        <v>3650</v>
      </c>
      <c r="AZ217" s="298">
        <f>IF(ROUND(AZ216,-1)=500,0,ROUND(AZ216,-1))</f>
        <v>3980</v>
      </c>
      <c r="BA217" s="301">
        <f t="shared" si="25"/>
        <v>0</v>
      </c>
      <c r="BB217" s="298">
        <f t="shared" si="25"/>
        <v>4800</v>
      </c>
      <c r="BC217" s="298">
        <f t="shared" si="25"/>
        <v>3130</v>
      </c>
      <c r="BD217" s="298">
        <f t="shared" si="25"/>
        <v>3500</v>
      </c>
      <c r="BE217" s="298">
        <f t="shared" si="25"/>
        <v>2560</v>
      </c>
      <c r="BF217" s="301">
        <f t="shared" si="25"/>
        <v>0</v>
      </c>
      <c r="BG217" s="298">
        <f t="shared" si="25"/>
        <v>2810</v>
      </c>
      <c r="BH217" s="302">
        <f t="shared" si="25"/>
        <v>0</v>
      </c>
      <c r="BI217" s="84"/>
      <c r="BJ217" s="157"/>
      <c r="BL217" s="13">
        <f>BJ187*0.6-BJ196-BJ197-BJ199+BJ205+BJ207+BJ209-BJ202</f>
        <v>0</v>
      </c>
    </row>
    <row r="218" spans="2:64" s="307" customFormat="1" ht="15" hidden="1" customHeight="1" thickBot="1" x14ac:dyDescent="0.25">
      <c r="B218" s="303"/>
      <c r="C218" s="304"/>
      <c r="D218" s="304"/>
      <c r="E218" s="304"/>
      <c r="F218" s="305"/>
      <c r="G218" s="305"/>
      <c r="H218" s="304"/>
      <c r="I218" s="304"/>
      <c r="J218" s="304"/>
      <c r="K218" s="304"/>
      <c r="L218" s="304"/>
      <c r="M218" s="304"/>
      <c r="N218" s="304"/>
      <c r="O218" s="306">
        <f>O217-((O193*50/100)-O204+O211)</f>
        <v>670.5</v>
      </c>
      <c r="P218" s="306">
        <f>P217-((P193*50/100)-P204+P211)</f>
        <v>803.5</v>
      </c>
      <c r="Q218" s="306">
        <f>Q217-((Q193*50/100)-Q204+Q211)</f>
        <v>628.5</v>
      </c>
      <c r="R218" s="306"/>
      <c r="S218" s="306"/>
      <c r="T218" s="306"/>
      <c r="U218" s="306">
        <f t="shared" ref="U218:AH218" si="26">U217-((U193*50/100)-U204+U211)</f>
        <v>915.5</v>
      </c>
      <c r="V218" s="306">
        <f t="shared" si="26"/>
        <v>742.5</v>
      </c>
      <c r="W218" s="306">
        <f t="shared" si="26"/>
        <v>695.5</v>
      </c>
      <c r="X218" s="306">
        <f t="shared" si="26"/>
        <v>564</v>
      </c>
      <c r="Y218" s="306">
        <f t="shared" si="26"/>
        <v>524</v>
      </c>
      <c r="Z218" s="306">
        <f t="shared" si="26"/>
        <v>299.5</v>
      </c>
      <c r="AA218" s="306">
        <f t="shared" si="26"/>
        <v>868</v>
      </c>
      <c r="AB218" s="306">
        <f t="shared" si="26"/>
        <v>1086</v>
      </c>
      <c r="AC218" s="306">
        <f t="shared" si="26"/>
        <v>820.5</v>
      </c>
      <c r="AD218" s="306">
        <f t="shared" si="26"/>
        <v>1075</v>
      </c>
      <c r="AE218" s="306">
        <f t="shared" si="26"/>
        <v>1153</v>
      </c>
      <c r="AF218" s="306">
        <f t="shared" si="26"/>
        <v>654.5</v>
      </c>
      <c r="AG218" s="306">
        <f t="shared" si="26"/>
        <v>763</v>
      </c>
      <c r="AH218" s="306">
        <f t="shared" si="26"/>
        <v>1097</v>
      </c>
      <c r="AI218" s="304"/>
      <c r="AJ218" s="306">
        <f t="shared" ref="AJ218:BH218" si="27">AJ217-((AJ193*50/100)-AJ204+AJ211)</f>
        <v>883</v>
      </c>
      <c r="AK218" s="306">
        <f t="shared" si="27"/>
        <v>638.5</v>
      </c>
      <c r="AL218" s="306">
        <f t="shared" si="27"/>
        <v>615</v>
      </c>
      <c r="AM218" s="306">
        <f t="shared" si="27"/>
        <v>131</v>
      </c>
      <c r="AN218" s="306">
        <f t="shared" si="27"/>
        <v>668.5</v>
      </c>
      <c r="AO218" s="306">
        <f t="shared" si="27"/>
        <v>701</v>
      </c>
      <c r="AP218" s="306">
        <f t="shared" si="27"/>
        <v>814</v>
      </c>
      <c r="AQ218" s="306">
        <f t="shared" si="27"/>
        <v>633.5</v>
      </c>
      <c r="AR218" s="306">
        <f t="shared" si="27"/>
        <v>808.5</v>
      </c>
      <c r="AS218" s="306">
        <f t="shared" si="27"/>
        <v>882</v>
      </c>
      <c r="AT218" s="306">
        <f t="shared" si="27"/>
        <v>905.5</v>
      </c>
      <c r="AU218" s="306">
        <f t="shared" si="27"/>
        <v>1012</v>
      </c>
      <c r="AV218" s="306">
        <f t="shared" si="27"/>
        <v>770.5</v>
      </c>
      <c r="AW218" s="306">
        <f t="shared" si="27"/>
        <v>959.5</v>
      </c>
      <c r="AX218" s="306">
        <f t="shared" si="27"/>
        <v>709.5</v>
      </c>
      <c r="AY218" s="306">
        <f t="shared" si="27"/>
        <v>609</v>
      </c>
      <c r="AZ218" s="306">
        <f t="shared" si="27"/>
        <v>1113.5</v>
      </c>
      <c r="BA218" s="306">
        <f t="shared" si="27"/>
        <v>0</v>
      </c>
      <c r="BB218" s="306">
        <f t="shared" si="27"/>
        <v>839.5</v>
      </c>
      <c r="BC218" s="306">
        <f t="shared" si="27"/>
        <v>636</v>
      </c>
      <c r="BD218" s="306">
        <f t="shared" si="27"/>
        <v>622</v>
      </c>
      <c r="BE218" s="306">
        <f t="shared" si="27"/>
        <v>945.5</v>
      </c>
      <c r="BF218" s="306">
        <f t="shared" si="27"/>
        <v>0</v>
      </c>
      <c r="BG218" s="306">
        <f t="shared" si="27"/>
        <v>1168.5</v>
      </c>
      <c r="BH218" s="306">
        <f t="shared" si="27"/>
        <v>0</v>
      </c>
      <c r="BI218" s="273"/>
    </row>
    <row r="219" spans="2:64" s="307" customFormat="1" ht="15" hidden="1" customHeight="1" thickBot="1" x14ac:dyDescent="0.25">
      <c r="B219" s="487">
        <v>0.1</v>
      </c>
      <c r="C219" s="488"/>
      <c r="D219" s="488"/>
      <c r="E219" s="488"/>
      <c r="F219" s="488"/>
      <c r="G219" s="488"/>
      <c r="H219" s="488"/>
      <c r="I219" s="488"/>
      <c r="J219" s="488"/>
      <c r="K219" s="488"/>
      <c r="L219" s="488"/>
      <c r="M219" s="489"/>
      <c r="N219" s="308"/>
      <c r="O219" s="309">
        <f>IF(ROUND(O218,-1)=500,0,ROUND(O218,-1))</f>
        <v>670</v>
      </c>
      <c r="P219" s="309">
        <f>IF(ROUND(P218,-1)=500,0,ROUND(P218,-1))</f>
        <v>800</v>
      </c>
      <c r="Q219" s="309">
        <f>IF(ROUND(Q218,-1)=500,0,ROUND(Q218,-1))</f>
        <v>630</v>
      </c>
      <c r="R219" s="309"/>
      <c r="S219" s="309"/>
      <c r="T219" s="309"/>
      <c r="U219" s="309">
        <f t="shared" ref="U219:AH219" si="28">IF(ROUND(U218,-1)=500,0,ROUND(U218,-1))</f>
        <v>920</v>
      </c>
      <c r="V219" s="309">
        <f t="shared" si="28"/>
        <v>740</v>
      </c>
      <c r="W219" s="309">
        <f t="shared" si="28"/>
        <v>700</v>
      </c>
      <c r="X219" s="309">
        <f t="shared" si="28"/>
        <v>560</v>
      </c>
      <c r="Y219" s="309">
        <f t="shared" si="28"/>
        <v>520</v>
      </c>
      <c r="Z219" s="309">
        <f t="shared" si="28"/>
        <v>300</v>
      </c>
      <c r="AA219" s="309">
        <f t="shared" si="28"/>
        <v>870</v>
      </c>
      <c r="AB219" s="309">
        <f t="shared" si="28"/>
        <v>1090</v>
      </c>
      <c r="AC219" s="309">
        <f t="shared" si="28"/>
        <v>820</v>
      </c>
      <c r="AD219" s="309">
        <f t="shared" si="28"/>
        <v>1080</v>
      </c>
      <c r="AE219" s="309">
        <f t="shared" si="28"/>
        <v>1150</v>
      </c>
      <c r="AF219" s="309">
        <f t="shared" si="28"/>
        <v>650</v>
      </c>
      <c r="AG219" s="309">
        <f t="shared" si="28"/>
        <v>760</v>
      </c>
      <c r="AH219" s="309">
        <f t="shared" si="28"/>
        <v>1100</v>
      </c>
      <c r="AI219" s="308"/>
      <c r="AJ219" s="309">
        <f t="shared" ref="AJ219:BH219" si="29">IF(ROUND(AJ218,-1)=500,0,ROUND(AJ218,-1))</f>
        <v>880</v>
      </c>
      <c r="AK219" s="309">
        <f t="shared" si="29"/>
        <v>640</v>
      </c>
      <c r="AL219" s="309">
        <f t="shared" si="29"/>
        <v>620</v>
      </c>
      <c r="AM219" s="309">
        <f t="shared" si="29"/>
        <v>130</v>
      </c>
      <c r="AN219" s="309">
        <f t="shared" si="29"/>
        <v>670</v>
      </c>
      <c r="AO219" s="309">
        <f t="shared" si="29"/>
        <v>700</v>
      </c>
      <c r="AP219" s="309">
        <f t="shared" si="29"/>
        <v>810</v>
      </c>
      <c r="AQ219" s="309">
        <f t="shared" si="29"/>
        <v>630</v>
      </c>
      <c r="AR219" s="309">
        <f t="shared" si="29"/>
        <v>810</v>
      </c>
      <c r="AS219" s="309">
        <f t="shared" si="29"/>
        <v>880</v>
      </c>
      <c r="AT219" s="309">
        <f t="shared" si="29"/>
        <v>910</v>
      </c>
      <c r="AU219" s="309">
        <f t="shared" si="29"/>
        <v>1010</v>
      </c>
      <c r="AV219" s="309">
        <f t="shared" si="29"/>
        <v>770</v>
      </c>
      <c r="AW219" s="309">
        <f t="shared" si="29"/>
        <v>960</v>
      </c>
      <c r="AX219" s="309">
        <f t="shared" si="29"/>
        <v>710</v>
      </c>
      <c r="AY219" s="309">
        <f t="shared" si="29"/>
        <v>610</v>
      </c>
      <c r="AZ219" s="309">
        <f t="shared" si="29"/>
        <v>1110</v>
      </c>
      <c r="BA219" s="309">
        <f t="shared" si="29"/>
        <v>0</v>
      </c>
      <c r="BB219" s="309">
        <f t="shared" si="29"/>
        <v>840</v>
      </c>
      <c r="BC219" s="309">
        <f t="shared" si="29"/>
        <v>640</v>
      </c>
      <c r="BD219" s="309">
        <f t="shared" si="29"/>
        <v>620</v>
      </c>
      <c r="BE219" s="309">
        <f t="shared" si="29"/>
        <v>950</v>
      </c>
      <c r="BF219" s="309">
        <f t="shared" si="29"/>
        <v>0</v>
      </c>
      <c r="BG219" s="309">
        <f t="shared" si="29"/>
        <v>1170</v>
      </c>
      <c r="BH219" s="310">
        <f t="shared" si="29"/>
        <v>0</v>
      </c>
      <c r="BI219" s="273"/>
    </row>
    <row r="220" spans="2:64" ht="15" customHeight="1" thickBot="1" x14ac:dyDescent="0.25">
      <c r="B220" s="490" t="s">
        <v>173</v>
      </c>
      <c r="C220" s="491"/>
      <c r="D220" s="491"/>
      <c r="E220" s="491"/>
      <c r="F220" s="491"/>
      <c r="G220" s="491"/>
      <c r="H220" s="491"/>
      <c r="I220" s="491"/>
      <c r="J220" s="491"/>
      <c r="K220" s="491"/>
      <c r="L220" s="491"/>
      <c r="M220" s="492"/>
      <c r="N220" s="311">
        <v>2920</v>
      </c>
      <c r="O220" s="311">
        <v>1630</v>
      </c>
      <c r="P220" s="311">
        <v>4710</v>
      </c>
      <c r="Q220" s="311">
        <v>2500</v>
      </c>
      <c r="R220" s="311">
        <v>2040</v>
      </c>
      <c r="S220" s="311">
        <v>4120</v>
      </c>
      <c r="T220" s="311">
        <v>3710</v>
      </c>
      <c r="U220" s="311">
        <v>3670</v>
      </c>
      <c r="V220" s="311">
        <v>2430</v>
      </c>
      <c r="W220" s="311">
        <v>4690</v>
      </c>
      <c r="X220" s="311">
        <v>2600</v>
      </c>
      <c r="Y220" s="311">
        <v>3280</v>
      </c>
      <c r="Z220" s="311">
        <v>980</v>
      </c>
      <c r="AA220" s="311">
        <v>5380</v>
      </c>
      <c r="AB220" s="311">
        <v>3090</v>
      </c>
      <c r="AC220" s="311">
        <v>3860</v>
      </c>
      <c r="AD220" s="311">
        <v>2970</v>
      </c>
      <c r="AE220" s="311">
        <v>6580</v>
      </c>
      <c r="AF220" s="311">
        <v>3120</v>
      </c>
      <c r="AG220" s="311">
        <v>4800</v>
      </c>
      <c r="AH220" s="311">
        <v>1430</v>
      </c>
      <c r="AI220" s="311">
        <v>2650</v>
      </c>
      <c r="AJ220" s="311">
        <v>2690</v>
      </c>
      <c r="AK220" s="311">
        <v>3500</v>
      </c>
      <c r="AL220" s="311">
        <v>2710</v>
      </c>
      <c r="AM220" s="311">
        <v>650</v>
      </c>
      <c r="AN220" s="311">
        <v>3160</v>
      </c>
      <c r="AO220" s="311">
        <v>4080</v>
      </c>
      <c r="AP220" s="311">
        <v>3890</v>
      </c>
      <c r="AQ220" s="311">
        <v>3090</v>
      </c>
      <c r="AR220" s="312">
        <v>3340</v>
      </c>
      <c r="AS220" s="312">
        <v>2690</v>
      </c>
      <c r="AT220" s="312">
        <v>3910</v>
      </c>
      <c r="AU220" s="312">
        <v>4950</v>
      </c>
      <c r="AV220" s="312">
        <v>1680</v>
      </c>
      <c r="AW220" s="311">
        <v>3790</v>
      </c>
      <c r="AX220" s="312">
        <v>3350</v>
      </c>
      <c r="AY220" s="312">
        <v>3650</v>
      </c>
      <c r="AZ220" s="312">
        <v>3980</v>
      </c>
      <c r="BA220" s="312"/>
      <c r="BB220" s="312">
        <v>4800</v>
      </c>
      <c r="BC220" s="312">
        <v>3130</v>
      </c>
      <c r="BD220" s="313">
        <v>3500</v>
      </c>
      <c r="BE220" s="312">
        <v>2560</v>
      </c>
      <c r="BF220" s="312"/>
      <c r="BG220" s="312">
        <v>2810</v>
      </c>
      <c r="BH220" s="312"/>
      <c r="BI220" s="314"/>
    </row>
    <row r="221" spans="2:64" ht="15" customHeight="1" x14ac:dyDescent="0.2">
      <c r="B221" s="493" t="s">
        <v>174</v>
      </c>
      <c r="C221" s="495" t="s">
        <v>175</v>
      </c>
      <c r="D221" s="497" t="s">
        <v>176</v>
      </c>
      <c r="E221" s="495" t="s">
        <v>177</v>
      </c>
      <c r="F221" s="500" t="s">
        <v>178</v>
      </c>
      <c r="G221" s="500" t="s">
        <v>179</v>
      </c>
      <c r="H221" s="502" t="s">
        <v>180</v>
      </c>
      <c r="I221" s="315"/>
      <c r="J221" s="315"/>
      <c r="K221" s="315"/>
      <c r="L221" s="315"/>
      <c r="M221" s="316"/>
      <c r="N221" s="311"/>
      <c r="O221" s="311"/>
      <c r="P221" s="311"/>
      <c r="Q221" s="311"/>
      <c r="R221" s="311"/>
      <c r="S221" s="311"/>
      <c r="T221" s="311"/>
      <c r="U221" s="311"/>
      <c r="V221" s="311"/>
      <c r="W221" s="311"/>
      <c r="X221" s="311"/>
      <c r="Y221" s="311"/>
      <c r="Z221" s="311"/>
      <c r="AA221" s="311"/>
      <c r="AB221" s="311"/>
      <c r="AC221" s="311"/>
      <c r="AD221" s="311"/>
      <c r="AE221" s="311"/>
      <c r="AF221" s="311"/>
      <c r="AG221" s="311"/>
      <c r="AH221" s="311"/>
      <c r="AI221" s="311"/>
      <c r="AJ221" s="311"/>
      <c r="AK221" s="311"/>
      <c r="AL221" s="311"/>
      <c r="AM221" s="311"/>
      <c r="AN221" s="311"/>
      <c r="AO221" s="311"/>
      <c r="AP221" s="311"/>
      <c r="AQ221" s="311"/>
      <c r="AR221" s="312"/>
      <c r="AS221" s="312"/>
      <c r="AT221" s="312"/>
      <c r="AU221" s="312"/>
      <c r="AV221" s="312"/>
      <c r="AW221" s="311"/>
      <c r="AX221" s="312"/>
      <c r="AY221" s="312"/>
      <c r="AZ221" s="312"/>
      <c r="BA221" s="312"/>
      <c r="BB221" s="312"/>
      <c r="BC221" s="312"/>
      <c r="BD221" s="312"/>
      <c r="BE221" s="312"/>
      <c r="BF221" s="312"/>
      <c r="BG221" s="312"/>
      <c r="BH221" s="312"/>
      <c r="BI221" s="314"/>
    </row>
    <row r="222" spans="2:64" s="314" customFormat="1" ht="15.75" customHeight="1" x14ac:dyDescent="0.2">
      <c r="B222" s="494"/>
      <c r="C222" s="496"/>
      <c r="D222" s="498"/>
      <c r="E222" s="499"/>
      <c r="F222" s="501"/>
      <c r="G222" s="501"/>
      <c r="H222" s="500"/>
      <c r="I222" s="315"/>
      <c r="J222" s="317">
        <f>D228</f>
        <v>0.27963734508789401</v>
      </c>
      <c r="K222" s="318" t="s">
        <v>181</v>
      </c>
      <c r="L222" s="319"/>
      <c r="M222" s="320"/>
      <c r="N222" s="312"/>
      <c r="O222" s="312"/>
      <c r="P222" s="312"/>
      <c r="Q222" s="312"/>
      <c r="R222" s="312"/>
      <c r="S222" s="312"/>
      <c r="T222" s="312"/>
      <c r="U222" s="312"/>
      <c r="V222" s="312"/>
      <c r="W222" s="312"/>
      <c r="X222" s="312"/>
      <c r="Y222" s="312"/>
      <c r="Z222" s="312"/>
      <c r="AA222" s="312"/>
      <c r="AB222" s="312"/>
      <c r="AC222" s="312"/>
      <c r="AD222" s="312"/>
      <c r="AE222" s="312"/>
      <c r="AF222" s="312"/>
      <c r="AG222" s="312"/>
      <c r="AH222" s="312"/>
      <c r="AI222" s="312"/>
      <c r="AJ222" s="312"/>
      <c r="AK222" s="312"/>
      <c r="AL222" s="312"/>
      <c r="AM222" s="312"/>
      <c r="AN222" s="312"/>
      <c r="AO222" s="312"/>
      <c r="AP222" s="312"/>
      <c r="AQ222" s="312"/>
      <c r="AR222" s="312"/>
      <c r="AS222" s="312"/>
      <c r="AT222" s="312"/>
      <c r="AU222" s="312"/>
      <c r="AV222" s="312"/>
      <c r="AW222" s="312"/>
      <c r="AX222" s="312"/>
      <c r="AY222" s="312"/>
      <c r="AZ222" s="312"/>
      <c r="BA222" s="312"/>
      <c r="BB222" s="312"/>
      <c r="BC222" s="312"/>
      <c r="BD222" s="312"/>
      <c r="BE222" s="312"/>
      <c r="BF222" s="312"/>
      <c r="BG222" s="312"/>
      <c r="BH222" s="312"/>
    </row>
    <row r="223" spans="2:64" s="314" customFormat="1" ht="15" customHeight="1" x14ac:dyDescent="0.2">
      <c r="B223" s="494"/>
      <c r="C223" s="321">
        <f>SUM(C224:C230)</f>
        <v>339386</v>
      </c>
      <c r="D223" s="498"/>
      <c r="E223" s="322">
        <f>SUM(N217:BH217)</f>
        <v>144570</v>
      </c>
      <c r="F223" s="323">
        <f>SUM(F224:F230)</f>
        <v>711</v>
      </c>
      <c r="G223" s="324">
        <f>SUM(N7:BH7)*24/22</f>
        <v>92156.651515151549</v>
      </c>
      <c r="H223" s="325">
        <f>C223/G223</f>
        <v>3.682707589958401</v>
      </c>
      <c r="I223" s="315"/>
      <c r="J223" s="326"/>
      <c r="K223" s="327"/>
      <c r="L223" s="319"/>
      <c r="M223" s="328"/>
      <c r="N223" s="312"/>
      <c r="O223" s="312"/>
      <c r="P223" s="312"/>
      <c r="Q223" s="312"/>
      <c r="R223" s="312"/>
      <c r="S223" s="312"/>
      <c r="T223" s="312"/>
      <c r="U223" s="312"/>
      <c r="V223" s="312"/>
      <c r="W223" s="312"/>
      <c r="X223" s="312"/>
      <c r="Y223" s="312"/>
      <c r="Z223" s="312"/>
      <c r="AA223" s="312"/>
      <c r="AB223" s="312"/>
      <c r="AC223" s="312"/>
      <c r="AD223" s="312"/>
      <c r="AE223" s="312"/>
      <c r="AF223" s="312"/>
      <c r="AG223" s="312"/>
      <c r="AH223" s="312"/>
      <c r="AI223" s="312"/>
      <c r="AJ223" s="312"/>
      <c r="AK223" s="312"/>
      <c r="AL223" s="312"/>
      <c r="AM223" s="312"/>
      <c r="AN223" s="312"/>
      <c r="AO223" s="312"/>
      <c r="AP223" s="312"/>
      <c r="AQ223" s="312"/>
      <c r="AR223" s="312"/>
      <c r="AS223" s="312"/>
      <c r="AT223" s="312"/>
      <c r="AU223" s="312"/>
      <c r="AV223" s="312"/>
      <c r="AW223" s="312"/>
      <c r="AX223" s="312"/>
      <c r="AY223" s="312"/>
      <c r="AZ223" s="312"/>
      <c r="BA223" s="312"/>
      <c r="BB223" s="312"/>
      <c r="BC223" s="312"/>
      <c r="BD223" s="312"/>
      <c r="BE223" s="312"/>
      <c r="BF223" s="312"/>
      <c r="BG223" s="312"/>
      <c r="BH223" s="312"/>
    </row>
    <row r="224" spans="2:64" s="314" customFormat="1" ht="15" customHeight="1" x14ac:dyDescent="0.2">
      <c r="B224" s="329" t="s">
        <v>182</v>
      </c>
      <c r="C224" s="330">
        <f>SUM(N13:BH13)</f>
        <v>139791</v>
      </c>
      <c r="D224" s="331">
        <f>C224/C223</f>
        <v>0.41189383180213679</v>
      </c>
      <c r="E224" s="332">
        <f>E223*D224</f>
        <v>59547.491263634918</v>
      </c>
      <c r="F224" s="333">
        <f>SUM(N39:BH39)</f>
        <v>305</v>
      </c>
      <c r="G224" s="334"/>
      <c r="H224" s="315"/>
      <c r="I224" s="315"/>
      <c r="J224" s="335">
        <v>6600</v>
      </c>
      <c r="K224" s="336" t="s">
        <v>183</v>
      </c>
      <c r="L224" s="319"/>
      <c r="M224" s="320"/>
      <c r="N224" s="312"/>
      <c r="O224" s="312"/>
      <c r="P224" s="312"/>
      <c r="Q224" s="312"/>
      <c r="R224" s="312"/>
      <c r="S224" s="312"/>
      <c r="T224" s="312"/>
      <c r="U224" s="312"/>
      <c r="V224" s="312"/>
      <c r="W224" s="312"/>
      <c r="X224" s="312"/>
      <c r="Y224" s="312"/>
      <c r="Z224" s="312"/>
      <c r="AA224" s="312"/>
      <c r="AB224" s="312"/>
      <c r="AC224" s="312"/>
      <c r="AD224" s="312"/>
      <c r="AE224" s="312"/>
      <c r="AF224" s="312"/>
      <c r="AG224" s="312"/>
      <c r="AH224" s="312"/>
      <c r="AI224" s="312"/>
      <c r="AJ224" s="312"/>
      <c r="AK224" s="312"/>
      <c r="AL224" s="312"/>
      <c r="AM224" s="312"/>
      <c r="AN224" s="312"/>
      <c r="AO224" s="312"/>
      <c r="AP224" s="312"/>
      <c r="AQ224" s="312"/>
      <c r="AR224" s="312"/>
      <c r="AS224" s="312"/>
      <c r="AT224" s="312"/>
      <c r="AU224" s="312"/>
      <c r="AV224" s="312"/>
      <c r="AW224" s="312"/>
      <c r="AX224" s="312"/>
      <c r="AY224" s="312"/>
      <c r="AZ224" s="312"/>
      <c r="BA224" s="312"/>
      <c r="BB224" s="312"/>
      <c r="BC224" s="312"/>
      <c r="BD224" s="312"/>
      <c r="BE224" s="312"/>
      <c r="BF224" s="312"/>
      <c r="BG224" s="312"/>
      <c r="BH224" s="312"/>
    </row>
    <row r="225" spans="2:60" s="314" customFormat="1" ht="15" customHeight="1" x14ac:dyDescent="0.2">
      <c r="B225" s="329" t="s">
        <v>184</v>
      </c>
      <c r="C225" s="330">
        <f>SUM(N40:BH40)</f>
        <v>27806</v>
      </c>
      <c r="D225" s="331">
        <f>C225/C223</f>
        <v>8.193030944116729E-2</v>
      </c>
      <c r="E225" s="332">
        <f>E223*D225</f>
        <v>11844.664835909554</v>
      </c>
      <c r="F225" s="333">
        <f>SUM(N66:BH66)</f>
        <v>58</v>
      </c>
      <c r="G225" s="334"/>
      <c r="H225" s="315"/>
      <c r="I225" s="315"/>
      <c r="J225" s="315"/>
      <c r="K225" s="336"/>
      <c r="L225" s="319"/>
      <c r="M225" s="320"/>
      <c r="N225" s="312"/>
      <c r="O225" s="312"/>
      <c r="P225" s="312"/>
      <c r="Q225" s="312"/>
      <c r="R225" s="312"/>
      <c r="S225" s="312"/>
      <c r="T225" s="312"/>
      <c r="U225" s="312"/>
      <c r="V225" s="312"/>
      <c r="W225" s="312"/>
      <c r="X225" s="312"/>
      <c r="Y225" s="312"/>
      <c r="Z225" s="312"/>
      <c r="AA225" s="312"/>
      <c r="AB225" s="312"/>
      <c r="AC225" s="312"/>
      <c r="AD225" s="312"/>
      <c r="AE225" s="312"/>
      <c r="AF225" s="312"/>
      <c r="AG225" s="312"/>
      <c r="AH225" s="312"/>
      <c r="AI225" s="312"/>
      <c r="AJ225" s="312"/>
      <c r="AK225" s="312"/>
      <c r="AL225" s="312"/>
      <c r="AM225" s="312"/>
      <c r="AN225" s="312"/>
      <c r="AO225" s="312"/>
      <c r="AP225" s="312"/>
      <c r="AQ225" s="312"/>
      <c r="AR225" s="312"/>
      <c r="AS225" s="312"/>
      <c r="AT225" s="312"/>
      <c r="AU225" s="312"/>
      <c r="AV225" s="312"/>
      <c r="AW225" s="312"/>
      <c r="AX225" s="312"/>
      <c r="AY225" s="312"/>
      <c r="AZ225" s="312"/>
      <c r="BA225" s="312"/>
      <c r="BB225" s="312"/>
      <c r="BC225" s="312"/>
      <c r="BD225" s="312"/>
      <c r="BE225" s="312"/>
      <c r="BF225" s="312"/>
      <c r="BG225" s="312"/>
      <c r="BH225" s="312"/>
    </row>
    <row r="226" spans="2:60" s="314" customFormat="1" ht="15" customHeight="1" x14ac:dyDescent="0.2">
      <c r="B226" s="329" t="s">
        <v>185</v>
      </c>
      <c r="C226" s="330">
        <f>SUM(N67:BH67)</f>
        <v>0</v>
      </c>
      <c r="D226" s="331">
        <f>C226/C223</f>
        <v>0</v>
      </c>
      <c r="E226" s="332">
        <f>E223*D226</f>
        <v>0</v>
      </c>
      <c r="F226" s="333">
        <f>SUM(N93:BH93)</f>
        <v>0</v>
      </c>
      <c r="G226" s="334" t="s">
        <v>186</v>
      </c>
      <c r="H226" s="337">
        <f>G223*2000</f>
        <v>184313303.03030309</v>
      </c>
      <c r="I226" s="315"/>
      <c r="J226" s="338">
        <f>COUNT(N123:BH123)</f>
        <v>26</v>
      </c>
      <c r="K226" s="468" t="s">
        <v>187</v>
      </c>
      <c r="L226" s="469"/>
      <c r="M226" s="470"/>
      <c r="N226" s="312"/>
      <c r="O226" s="312"/>
      <c r="P226" s="312"/>
      <c r="Q226" s="312"/>
      <c r="R226" s="312"/>
      <c r="S226" s="312"/>
      <c r="T226" s="312"/>
      <c r="U226" s="312"/>
      <c r="V226" s="312"/>
      <c r="W226" s="312"/>
      <c r="X226" s="312"/>
      <c r="Y226" s="312"/>
      <c r="Z226" s="312"/>
      <c r="AA226" s="312"/>
      <c r="AB226" s="312"/>
      <c r="AC226" s="312"/>
      <c r="AD226" s="312"/>
      <c r="AE226" s="312"/>
      <c r="AF226" s="312"/>
      <c r="AG226" s="312"/>
      <c r="AH226" s="312"/>
      <c r="AI226" s="312"/>
      <c r="AJ226" s="312"/>
      <c r="AK226" s="312"/>
      <c r="AL226" s="312"/>
      <c r="AM226" s="312"/>
      <c r="AN226" s="312"/>
      <c r="AO226" s="312"/>
      <c r="AP226" s="312"/>
      <c r="AQ226" s="312"/>
      <c r="AR226" s="312"/>
      <c r="AS226" s="312"/>
      <c r="AT226" s="312"/>
      <c r="AU226" s="312"/>
      <c r="AV226" s="312"/>
      <c r="AW226" s="312"/>
      <c r="AX226" s="312"/>
      <c r="AY226" s="312"/>
      <c r="AZ226" s="312"/>
      <c r="BA226" s="312"/>
      <c r="BB226" s="312"/>
      <c r="BC226" s="312"/>
      <c r="BD226" s="312"/>
      <c r="BE226" s="312"/>
      <c r="BF226" s="312"/>
      <c r="BG226" s="312"/>
      <c r="BH226" s="312"/>
    </row>
    <row r="227" spans="2:60" s="314" customFormat="1" ht="15" customHeight="1" x14ac:dyDescent="0.2">
      <c r="B227" s="339" t="s">
        <v>188</v>
      </c>
      <c r="C227" s="340">
        <f>SUM(N94:BH94)</f>
        <v>66082</v>
      </c>
      <c r="D227" s="331">
        <f>C227/C223</f>
        <v>0.1947104476908299</v>
      </c>
      <c r="E227" s="332">
        <f>E223*D227</f>
        <v>28149.289422663278</v>
      </c>
      <c r="F227" s="333">
        <f>SUM(N120:BH120)</f>
        <v>129</v>
      </c>
      <c r="G227" s="334"/>
      <c r="H227" s="337"/>
      <c r="I227" s="315"/>
      <c r="J227" s="315"/>
      <c r="K227" s="341"/>
      <c r="L227" s="341"/>
      <c r="M227" s="342"/>
      <c r="N227" s="312"/>
      <c r="O227" s="312"/>
      <c r="P227" s="312"/>
      <c r="Q227" s="312"/>
      <c r="R227" s="312"/>
      <c r="S227" s="312"/>
      <c r="T227" s="312"/>
      <c r="U227" s="312"/>
      <c r="V227" s="312"/>
      <c r="W227" s="312"/>
      <c r="X227" s="312"/>
      <c r="Y227" s="312"/>
      <c r="Z227" s="312"/>
      <c r="AA227" s="312"/>
      <c r="AB227" s="312"/>
      <c r="AC227" s="312"/>
      <c r="AD227" s="312"/>
      <c r="AE227" s="312"/>
      <c r="AF227" s="312"/>
      <c r="AG227" s="312"/>
      <c r="AH227" s="312"/>
      <c r="AI227" s="312"/>
      <c r="AJ227" s="312"/>
      <c r="AK227" s="312"/>
      <c r="AL227" s="312"/>
      <c r="AM227" s="312"/>
      <c r="AN227" s="312"/>
      <c r="AO227" s="312"/>
      <c r="AP227" s="312"/>
      <c r="AQ227" s="312"/>
      <c r="AR227" s="312"/>
      <c r="AS227" s="312"/>
      <c r="AT227" s="312"/>
      <c r="AU227" s="312"/>
      <c r="AV227" s="312"/>
      <c r="AW227" s="312"/>
      <c r="AX227" s="312"/>
      <c r="AY227" s="312"/>
      <c r="AZ227" s="312"/>
      <c r="BA227" s="312"/>
      <c r="BB227" s="312"/>
      <c r="BC227" s="312"/>
      <c r="BD227" s="312"/>
      <c r="BE227" s="312"/>
      <c r="BF227" s="312"/>
      <c r="BG227" s="312"/>
      <c r="BH227" s="312"/>
    </row>
    <row r="228" spans="2:60" s="314" customFormat="1" ht="15" customHeight="1" x14ac:dyDescent="0.2">
      <c r="B228" s="339" t="s">
        <v>189</v>
      </c>
      <c r="C228" s="340">
        <f>SUM(N121:BH121)</f>
        <v>94905</v>
      </c>
      <c r="D228" s="331">
        <f>C228/C223</f>
        <v>0.27963734508789401</v>
      </c>
      <c r="E228" s="332">
        <f>E223*D228</f>
        <v>40427.170979356837</v>
      </c>
      <c r="F228" s="333">
        <f>SUM(N147:BH147)</f>
        <v>195</v>
      </c>
      <c r="G228" s="334"/>
      <c r="H228" s="337"/>
      <c r="I228" s="315"/>
      <c r="J228" s="315"/>
      <c r="K228" s="341"/>
      <c r="L228" s="341"/>
      <c r="M228" s="342"/>
      <c r="N228" s="312"/>
      <c r="O228" s="312"/>
      <c r="P228" s="312"/>
      <c r="Q228" s="312"/>
      <c r="R228" s="312"/>
      <c r="S228" s="312"/>
      <c r="T228" s="312"/>
      <c r="U228" s="312"/>
      <c r="V228" s="312"/>
      <c r="W228" s="312"/>
      <c r="X228" s="312"/>
      <c r="Y228" s="312"/>
      <c r="Z228" s="312"/>
      <c r="AA228" s="312"/>
      <c r="AB228" s="312"/>
      <c r="AC228" s="312"/>
      <c r="AD228" s="312"/>
      <c r="AE228" s="312"/>
      <c r="AF228" s="312"/>
      <c r="AG228" s="312"/>
      <c r="AH228" s="312"/>
      <c r="AI228" s="312"/>
      <c r="AJ228" s="312"/>
      <c r="AK228" s="312"/>
      <c r="AL228" s="312"/>
      <c r="AM228" s="312"/>
      <c r="AN228" s="312"/>
      <c r="AO228" s="312"/>
      <c r="AP228" s="312"/>
      <c r="AQ228" s="312"/>
      <c r="AR228" s="312"/>
      <c r="AS228" s="312"/>
      <c r="AT228" s="312"/>
      <c r="AU228" s="312"/>
      <c r="AV228" s="312"/>
      <c r="AW228" s="312"/>
      <c r="AX228" s="312"/>
      <c r="AY228" s="312"/>
      <c r="AZ228" s="312"/>
      <c r="BA228" s="312"/>
      <c r="BB228" s="312"/>
      <c r="BC228" s="312"/>
      <c r="BD228" s="312"/>
      <c r="BE228" s="312"/>
      <c r="BF228" s="312"/>
      <c r="BG228" s="312"/>
      <c r="BH228" s="312"/>
    </row>
    <row r="229" spans="2:60" s="314" customFormat="1" ht="15" customHeight="1" thickBot="1" x14ac:dyDescent="0.25">
      <c r="B229" s="329" t="s">
        <v>190</v>
      </c>
      <c r="C229" s="330">
        <f>SUM(N148:BH148)</f>
        <v>10802</v>
      </c>
      <c r="D229" s="331">
        <f>C229/C223</f>
        <v>3.1828065977971984E-2</v>
      </c>
      <c r="E229" s="332">
        <f>E223*D229</f>
        <v>4601.3834984354098</v>
      </c>
      <c r="F229" s="333">
        <f>SUM(N159:BH159)</f>
        <v>24</v>
      </c>
      <c r="G229" s="334"/>
      <c r="H229" s="337"/>
      <c r="I229" s="315"/>
      <c r="J229" s="315"/>
      <c r="K229" s="341"/>
      <c r="L229" s="341"/>
      <c r="M229" s="342"/>
      <c r="N229" s="312"/>
      <c r="O229" s="312"/>
      <c r="P229" s="312"/>
      <c r="Q229" s="312"/>
      <c r="R229" s="312"/>
      <c r="S229" s="312"/>
      <c r="T229" s="312"/>
      <c r="U229" s="312"/>
      <c r="V229" s="312"/>
      <c r="W229" s="312"/>
      <c r="X229" s="312"/>
      <c r="Y229" s="312"/>
      <c r="Z229" s="312"/>
      <c r="AA229" s="312"/>
      <c r="AB229" s="312"/>
      <c r="AC229" s="312"/>
      <c r="AD229" s="312"/>
      <c r="AE229" s="312"/>
      <c r="AF229" s="312"/>
      <c r="AG229" s="312"/>
      <c r="AH229" s="312"/>
      <c r="AI229" s="312"/>
      <c r="AJ229" s="312"/>
      <c r="AK229" s="312"/>
      <c r="AL229" s="312"/>
      <c r="AM229" s="312"/>
      <c r="AN229" s="312"/>
      <c r="AO229" s="312"/>
      <c r="AP229" s="312"/>
      <c r="AQ229" s="312"/>
      <c r="AR229" s="312"/>
      <c r="AS229" s="312"/>
      <c r="AT229" s="312"/>
      <c r="AU229" s="312"/>
      <c r="AV229" s="312"/>
      <c r="AW229" s="312"/>
      <c r="AX229" s="312"/>
      <c r="AY229" s="312"/>
      <c r="AZ229" s="312"/>
      <c r="BA229" s="312"/>
      <c r="BB229" s="312"/>
      <c r="BC229" s="312"/>
      <c r="BD229" s="312"/>
      <c r="BE229" s="312"/>
      <c r="BF229" s="312"/>
      <c r="BG229" s="312"/>
      <c r="BH229" s="312"/>
    </row>
    <row r="230" spans="2:60" s="314" customFormat="1" ht="15" customHeight="1" thickBot="1" x14ac:dyDescent="0.25">
      <c r="B230" s="329" t="s">
        <v>191</v>
      </c>
      <c r="C230" s="330">
        <f>SUM(N161:BH161)</f>
        <v>0</v>
      </c>
      <c r="D230" s="331">
        <f>C230/C223</f>
        <v>0</v>
      </c>
      <c r="E230" s="332">
        <f>E223*D230</f>
        <v>0</v>
      </c>
      <c r="F230" s="333">
        <f>SUM(N186:BH186)</f>
        <v>0</v>
      </c>
      <c r="G230" s="343" t="s">
        <v>192</v>
      </c>
      <c r="H230" s="344">
        <v>10999</v>
      </c>
      <c r="I230" s="315"/>
      <c r="J230" s="345">
        <f>COUNTIF(N187:BH187,"&gt;9999,99")</f>
        <v>7</v>
      </c>
      <c r="K230" s="336" t="s">
        <v>193</v>
      </c>
      <c r="L230" s="315"/>
      <c r="M230" s="316"/>
      <c r="N230" s="312"/>
      <c r="O230" s="312"/>
      <c r="P230" s="312"/>
      <c r="Q230" s="312"/>
      <c r="R230" s="312"/>
      <c r="S230" s="312"/>
      <c r="T230" s="312"/>
      <c r="U230" s="312"/>
      <c r="V230" s="312"/>
      <c r="W230" s="312"/>
      <c r="X230" s="312"/>
      <c r="Y230" s="312"/>
      <c r="Z230" s="312"/>
      <c r="AA230" s="312"/>
      <c r="AB230" s="312"/>
      <c r="AC230" s="312"/>
      <c r="AD230" s="312"/>
      <c r="AE230" s="312"/>
      <c r="AF230" s="312"/>
      <c r="AG230" s="312"/>
      <c r="AH230" s="312"/>
      <c r="AI230" s="312"/>
      <c r="AJ230" s="312"/>
      <c r="AK230" s="312"/>
      <c r="AL230" s="312"/>
      <c r="AM230" s="312"/>
      <c r="AN230" s="312"/>
      <c r="AO230" s="312"/>
      <c r="AP230" s="312"/>
      <c r="AQ230" s="312"/>
      <c r="AR230" s="312"/>
      <c r="AS230" s="312"/>
      <c r="AT230" s="312"/>
      <c r="AU230" s="312"/>
      <c r="AV230" s="312"/>
      <c r="AW230" s="312"/>
      <c r="AX230" s="312"/>
      <c r="AY230" s="312"/>
      <c r="AZ230" s="312"/>
      <c r="BA230" s="312"/>
      <c r="BB230" s="312"/>
      <c r="BC230" s="312"/>
      <c r="BD230" s="312"/>
      <c r="BE230" s="312"/>
      <c r="BF230" s="312"/>
      <c r="BG230" s="312"/>
      <c r="BH230" s="312"/>
    </row>
    <row r="231" spans="2:60" s="314" customFormat="1" ht="15" customHeight="1" thickBot="1" x14ac:dyDescent="0.25">
      <c r="B231" s="346"/>
      <c r="C231" s="347"/>
      <c r="D231" s="347"/>
      <c r="E231" s="348"/>
      <c r="F231" s="349"/>
      <c r="G231" s="350"/>
      <c r="H231" s="351"/>
      <c r="I231" s="350"/>
      <c r="J231" s="352"/>
      <c r="K231" s="352"/>
      <c r="L231" s="350"/>
      <c r="M231" s="353"/>
      <c r="N231" s="312"/>
      <c r="O231" s="312"/>
      <c r="P231" s="312"/>
      <c r="Q231" s="312"/>
      <c r="R231" s="312"/>
      <c r="S231" s="312"/>
      <c r="T231" s="312"/>
      <c r="U231" s="312"/>
      <c r="V231" s="312"/>
      <c r="W231" s="312"/>
      <c r="X231" s="312"/>
      <c r="Y231" s="312"/>
      <c r="Z231" s="312"/>
      <c r="AA231" s="312"/>
      <c r="AB231" s="312"/>
      <c r="AC231" s="312"/>
      <c r="AD231" s="312"/>
      <c r="AE231" s="312"/>
      <c r="AF231" s="312"/>
      <c r="AG231" s="312"/>
      <c r="AH231" s="312"/>
      <c r="AI231" s="312"/>
      <c r="AJ231" s="312"/>
      <c r="AK231" s="312"/>
      <c r="AL231" s="312"/>
      <c r="AM231" s="312"/>
      <c r="AN231" s="312"/>
      <c r="AO231" s="312"/>
      <c r="AP231" s="312"/>
      <c r="AQ231" s="312"/>
      <c r="AR231" s="312"/>
      <c r="AS231" s="312"/>
      <c r="AT231" s="312"/>
      <c r="AU231" s="312"/>
      <c r="AV231" s="312"/>
      <c r="AW231" s="312"/>
      <c r="AX231" s="312"/>
      <c r="AY231" s="312"/>
      <c r="AZ231" s="312"/>
      <c r="BA231" s="312"/>
      <c r="BB231" s="312"/>
      <c r="BC231" s="312"/>
      <c r="BD231" s="312"/>
      <c r="BE231" s="312"/>
      <c r="BF231" s="312"/>
      <c r="BG231" s="312"/>
      <c r="BH231" s="312"/>
    </row>
    <row r="232" spans="2:60" s="314" customFormat="1" ht="3" customHeight="1" thickBot="1" x14ac:dyDescent="0.25">
      <c r="B232" s="354"/>
      <c r="C232" s="354"/>
      <c r="D232" s="354"/>
      <c r="E232" s="355"/>
      <c r="F232" s="356"/>
      <c r="G232" s="357"/>
      <c r="H232" s="357"/>
      <c r="I232" s="357"/>
      <c r="J232" s="357"/>
      <c r="K232" s="357"/>
      <c r="L232" s="357"/>
      <c r="M232" s="357"/>
      <c r="N232" s="312"/>
      <c r="O232" s="312"/>
      <c r="P232" s="312"/>
      <c r="Q232" s="312"/>
      <c r="R232" s="312"/>
      <c r="S232" s="312"/>
      <c r="T232" s="312"/>
      <c r="U232" s="312"/>
      <c r="V232" s="312"/>
      <c r="W232" s="312"/>
      <c r="X232" s="312"/>
      <c r="Y232" s="312"/>
      <c r="Z232" s="312"/>
      <c r="AA232" s="312"/>
      <c r="AB232" s="312"/>
      <c r="AC232" s="312"/>
      <c r="AD232" s="312"/>
      <c r="AE232" s="312"/>
      <c r="AF232" s="312"/>
      <c r="AG232" s="312"/>
      <c r="AH232" s="312"/>
      <c r="AI232" s="312"/>
      <c r="AJ232" s="312"/>
      <c r="AK232" s="312"/>
      <c r="AL232" s="312"/>
      <c r="AM232" s="312"/>
      <c r="AN232" s="312"/>
      <c r="AO232" s="312"/>
      <c r="AP232" s="312"/>
      <c r="AQ232" s="312"/>
      <c r="AR232" s="312"/>
      <c r="AS232" s="312"/>
      <c r="AT232" s="312"/>
      <c r="AU232" s="312"/>
      <c r="AV232" s="312"/>
      <c r="AW232" s="312"/>
      <c r="AX232" s="312"/>
      <c r="AY232" s="312"/>
      <c r="AZ232" s="312"/>
      <c r="BA232" s="312"/>
      <c r="BB232" s="312"/>
      <c r="BC232" s="312"/>
      <c r="BD232" s="312"/>
      <c r="BE232" s="312"/>
      <c r="BF232" s="312"/>
      <c r="BG232" s="312"/>
      <c r="BH232" s="312"/>
    </row>
    <row r="233" spans="2:60" s="314" customFormat="1" ht="15.75" customHeight="1" thickBot="1" x14ac:dyDescent="0.25">
      <c r="B233" s="471" t="s">
        <v>194</v>
      </c>
      <c r="C233" s="472"/>
      <c r="D233" s="472"/>
      <c r="E233" s="472"/>
      <c r="F233" s="472"/>
      <c r="G233" s="472"/>
      <c r="H233" s="472"/>
      <c r="I233" s="472"/>
      <c r="J233" s="472"/>
      <c r="K233" s="472"/>
      <c r="L233" s="472"/>
      <c r="M233" s="473"/>
      <c r="N233" s="312"/>
      <c r="O233" s="312"/>
      <c r="P233" s="312"/>
      <c r="Q233" s="312"/>
      <c r="R233" s="312"/>
      <c r="S233" s="312"/>
      <c r="T233" s="312"/>
      <c r="U233" s="312"/>
      <c r="V233" s="312"/>
      <c r="W233" s="312"/>
      <c r="X233" s="312"/>
      <c r="Y233" s="312"/>
      <c r="Z233" s="312"/>
      <c r="AA233" s="312"/>
      <c r="AB233" s="312"/>
      <c r="AC233" s="312"/>
      <c r="AD233" s="312"/>
      <c r="AE233" s="312"/>
      <c r="AF233" s="312"/>
      <c r="AG233" s="312"/>
      <c r="AH233" s="312"/>
      <c r="AI233" s="312"/>
      <c r="AJ233" s="312"/>
      <c r="AK233" s="312"/>
      <c r="AL233" s="312"/>
      <c r="AM233" s="312"/>
      <c r="AN233" s="312"/>
      <c r="AO233" s="312"/>
      <c r="AP233" s="312"/>
      <c r="AQ233" s="312"/>
      <c r="AR233" s="312"/>
      <c r="AS233" s="312"/>
      <c r="AT233" s="312"/>
      <c r="AU233" s="312"/>
      <c r="AV233" s="312"/>
      <c r="AW233" s="312"/>
      <c r="AX233" s="312"/>
      <c r="AY233" s="312"/>
      <c r="AZ233" s="312"/>
      <c r="BA233" s="312"/>
      <c r="BB233" s="312"/>
      <c r="BC233" s="312"/>
      <c r="BD233" s="312"/>
      <c r="BE233" s="312"/>
      <c r="BF233" s="312"/>
      <c r="BG233" s="312"/>
      <c r="BH233" s="312"/>
    </row>
    <row r="234" spans="2:60" s="314" customFormat="1" ht="15.75" customHeight="1" x14ac:dyDescent="0.2">
      <c r="B234" s="474" t="s">
        <v>195</v>
      </c>
      <c r="C234" s="475"/>
      <c r="D234" s="475"/>
      <c r="E234" s="475"/>
      <c r="F234" s="475"/>
      <c r="G234" s="476"/>
      <c r="H234" s="477" t="s">
        <v>196</v>
      </c>
      <c r="I234" s="478"/>
      <c r="J234" s="478"/>
      <c r="K234" s="478"/>
      <c r="L234" s="479"/>
      <c r="M234" s="480" t="s">
        <v>197</v>
      </c>
      <c r="N234" s="312"/>
      <c r="O234" s="312"/>
      <c r="P234" s="312"/>
      <c r="Q234" s="312"/>
      <c r="R234" s="312"/>
      <c r="S234" s="312"/>
      <c r="T234" s="312"/>
      <c r="U234" s="312"/>
      <c r="V234" s="312"/>
      <c r="W234" s="312"/>
      <c r="X234" s="312"/>
      <c r="Y234" s="312"/>
      <c r="Z234" s="312"/>
      <c r="AA234" s="312"/>
      <c r="AB234" s="312"/>
      <c r="AC234" s="312"/>
      <c r="AD234" s="312"/>
      <c r="AE234" s="312"/>
      <c r="AF234" s="312"/>
      <c r="AG234" s="312"/>
      <c r="AH234" s="312"/>
      <c r="AI234" s="312"/>
      <c r="AJ234" s="312"/>
      <c r="AK234" s="312"/>
      <c r="AL234" s="312"/>
      <c r="AM234" s="312"/>
      <c r="AN234" s="312"/>
      <c r="AO234" s="312"/>
      <c r="AP234" s="312"/>
      <c r="AQ234" s="312"/>
      <c r="AR234" s="312"/>
      <c r="AS234" s="312"/>
      <c r="AT234" s="312"/>
      <c r="AU234" s="312"/>
      <c r="AV234" s="312"/>
      <c r="AW234" s="312"/>
      <c r="AX234" s="312"/>
      <c r="AY234" s="312"/>
      <c r="AZ234" s="312"/>
      <c r="BA234" s="312"/>
      <c r="BB234" s="312"/>
      <c r="BC234" s="312"/>
      <c r="BD234" s="312"/>
      <c r="BE234" s="312"/>
      <c r="BF234" s="312"/>
      <c r="BG234" s="312"/>
      <c r="BH234" s="312"/>
    </row>
    <row r="235" spans="2:60" s="314" customFormat="1" ht="29.25" customHeight="1" x14ac:dyDescent="0.2">
      <c r="B235" s="358"/>
      <c r="C235" s="359" t="s">
        <v>198</v>
      </c>
      <c r="D235" s="359"/>
      <c r="E235" s="359" t="s">
        <v>199</v>
      </c>
      <c r="F235" s="359" t="s">
        <v>200</v>
      </c>
      <c r="G235" s="359" t="s">
        <v>201</v>
      </c>
      <c r="H235" s="360" t="s">
        <v>202</v>
      </c>
      <c r="I235" s="360" t="s">
        <v>203</v>
      </c>
      <c r="J235" s="360" t="s">
        <v>204</v>
      </c>
      <c r="K235" s="360" t="s">
        <v>205</v>
      </c>
      <c r="L235" s="360" t="s">
        <v>206</v>
      </c>
      <c r="M235" s="481"/>
      <c r="N235" s="312"/>
      <c r="O235" s="312"/>
      <c r="P235" s="312"/>
      <c r="Q235" s="312"/>
      <c r="R235" s="312"/>
      <c r="S235" s="312"/>
      <c r="T235" s="312"/>
      <c r="U235" s="312"/>
      <c r="V235" s="312"/>
      <c r="W235" s="312"/>
      <c r="X235" s="312"/>
      <c r="Y235" s="312"/>
      <c r="Z235" s="312"/>
      <c r="AA235" s="312"/>
      <c r="AB235" s="312"/>
      <c r="AC235" s="312"/>
      <c r="AD235" s="312"/>
      <c r="AE235" s="312"/>
      <c r="AF235" s="312"/>
      <c r="AG235" s="312"/>
      <c r="AH235" s="312"/>
      <c r="AI235" s="312"/>
      <c r="AJ235" s="312"/>
      <c r="AK235" s="312"/>
      <c r="AL235" s="312"/>
      <c r="AM235" s="312"/>
      <c r="AN235" s="312"/>
      <c r="AO235" s="312"/>
      <c r="AP235" s="312"/>
      <c r="AQ235" s="312"/>
      <c r="AR235" s="312"/>
      <c r="AS235" s="312"/>
      <c r="AT235" s="312"/>
      <c r="AU235" s="312"/>
      <c r="AV235" s="312"/>
      <c r="AW235" s="312"/>
      <c r="AX235" s="312"/>
      <c r="AY235" s="312"/>
      <c r="AZ235" s="312"/>
      <c r="BA235" s="312"/>
      <c r="BB235" s="312"/>
      <c r="BC235" s="312"/>
      <c r="BD235" s="312"/>
      <c r="BE235" s="312"/>
      <c r="BF235" s="312"/>
      <c r="BG235" s="312"/>
      <c r="BH235" s="312"/>
    </row>
    <row r="236" spans="2:60" s="368" customFormat="1" x14ac:dyDescent="0.2">
      <c r="B236" s="361"/>
      <c r="C236" s="362">
        <f>(IF(B236=N12,N187))+(IF(B236=O12,O187))+(IF(B236=P12,P187))+(IF(B236=Q12,Q187))+(IF(B236=R12,R187))+(IF(B236=S12,S187))+(IF(B236=T12,T187))+(IF(B236=U12,U187))+(IF(B236=V12,V187))+(IF(B236=W12,W187))+(IF(B236=X12,X187))+(IF(B236=Y12,Y187))+(IF(B236=Z12,Z187))+(IF(B236=AA12,AA187))+(IF(B236=AB12,AB187))+(IF(B236=AC12,AC187))+(IF(B236=AD12,AD187))+(IF(B236=AE12,AE187))+(IF(B236=AF12,AF187))+(IF(B236=AG12,AG187))+(IF(B236=AH12,AH187))+(IF(B236=AI12,AI187))+(IF(B236=AJ12,AJ187))+(IF(B236=AK12,AK187))+(IF(B236=AL12,AL187))+(IF(B236=AM12,AM187))+(IF(B236=AN12,AN187))+(IF(B236=AO12,AO187))+(IF(B236=AP12,AP187))+(IF(B236=AQ12,AQ187))+(IF(B236=AR12,AR187))+(IF(B236=AS12,AS187))+(IF(B236=AT12,AT187))+(IF(B236=AU12,AU187))+(IF(B236=AV12,AV187))+(IF(B236=AW12,AW187))+(IF(B236=AX12,AX187))+(IF(B236=AY12,AY187))+(IF(B236=AZ12,AZ187))+(IF(B236=BA12,BA187))+(IF(B236=BB12,BB187))+(IF(B236=BC12,BC187))+(IF(B236=BD12,BD187))+(IF(B236=BE12,BE187))+(IF(B236=BF12,BF187))+(IF(B236=BG12,BG187))+(IF(B236=BH12,BH187))</f>
        <v>162020</v>
      </c>
      <c r="D236" s="362"/>
      <c r="E236" s="362">
        <f>((IF(B236=N12,N7))+(IF(B236=O12,O7))+(IF(B236=P12,P7))+(IF(B236=Q12,Q7))+(IF(B236=R12,R7))+(IF(B236=S12,S7))+(IF(B236=T12,T7))+(IF(B236=U12,U7))+(IF(B236=V12,V7))+(IF(B236=W12,W7))+(IF(B236=X12,X7))+(IF(B236=Y12,Y7))+(IF(B236=Z12,Z7))+(IF(B236=AA12,AA7))+(IF(B236=AB12,AB7))+(IF(B236=AC12,AC7))+(IF(B236=AD12,AD7))+(IF(B236=AE12,AE7))+(IF(B236=AF12,AF7))+(IF(B236=AG12,AG7))+(IF(B236=AH12,AH7))+(IF(B236=AI12,AI7))+(IF(B236=AJ12,AJ7))+(IF(B236=AK12,AK7))+(IF(B236=AL12,AL7))+(IF(B236=AM12,AM7))+(IF(B236=AN12,AN7))+(IF(B236=AO12,AO7))+(IF(B236=AP12,AP7))+(IF(B236=AQ12,AQ7))+(IF(B236=AR12,AR7))+(IF(B236=AS12,AS7))+(IF(B236=AT12,AT7))+(IF(B236=AU12,AU7))+(IF(B236=AV12,AV7))+(IF(B236=AW12,AW7))+(IF(B236=AX12,AX7))+(IF(B236=AY12,AY7))+(IF(B236=AZ12,AZ7))+(IF(B236=BA12,BA7))+(IF(B236=BB12,BB7))+(IF(B236=BC12,BC7))+(IF(B236=BD12,BD7))+(IF(B236=BE12,BE7))+(IF(B236=BF12,BF7))+(IF(B236=BG12,BG7))+(IF(B236=BH12,BH7)))*24/22</f>
        <v>46276.378787878806</v>
      </c>
      <c r="F236" s="362">
        <f>((IF(B236=N12,N189))+(IF(B236=O12,O189))+(IF(B236=P12,P189))+(IF(B236=Q12,Q189))+(IF(B236=R12,R189))+(IF(B236=S12,S189))+(IF(B236=T12,T189))+(IF(B236=U12,U189))+(IF(B236=V12,V189))+(IF(B236=W12,W189))+(IF(B236=X12,X189))+(IF(B236=Y12,Y189))+(IF(B236=Z12,Z189))+(IF(B236=AA12,AA189))+(IF(B236=AB12,AB189))+(IF(B236=AC12,AC189))+(IF(B236=AD12,AD189))+(IF(B236=AE12,AE189))+(IF(B236=AF12,AF189))+(IF(B236=AG12,AG189))+(IF(B236=AH12,AH189))+(IF(B236=AI12,AI189))+(IF(B236=AJ12,AJ189))+(IF(B236=AK12,AK189))+(IF(B236=AL12,AL189))+(IF(B236=AM12,AM189))+(IF(B236=AN12,AN189))+(IF(B236=AO12,AO189))+(IF(B236=AP12,AP189))+(IF(B236=AQ12,AQ189))+(IF(B236=AR12,AR189))+(IF(B236=AS12,AS189))+(IF(B236=AT12,AT189))+(IF(B236=AU12,AU189))+(IF(B236=AV12,AV189))+(IF(B236=AW12,AW189))+(IF(B236=AX12,AX189))+(IF(B236=AY12,AY189))+(IF(B236=AZ12,AZ189))+(IF(B236=BA12,BA189))+(IF(B236=BB12,BB189))+(IF(B236=BC12,BC189))+(IF(B236=BD12,BD189))+(IF(B236=BE12,BE189))+(IF(B236=BF12,BF189))+(IF(B236=BG12,BG189))+(IF(B236=BH12,BH189))+(IF(B236=BI12,BI189)))</f>
        <v>352</v>
      </c>
      <c r="G236" s="362">
        <f>C236/E236</f>
        <v>3.5011382533336417</v>
      </c>
      <c r="H236" s="363">
        <f>IF($H$223=0,0,(IF($H$223&lt;=$G$243,$E$243,(IF($H$223&lt;=$G$244,$E$244,(IF($H$223&lt;=$G$245,$E$245,(IF($H$223&lt;=$G$246,$E$246,(IF($H$223&lt;=$G$247,$E$247,(IF($H$223&lt;=$G$248,$E$248,(IF($H$223&lt;=$G$249,$E$249,(IF($H$223&lt;=$G$250,$E$250,(IF($H$223&lt;=$G$251,$E$251,(IF($H$223&lt;=$G$252,$E$252,(IF($H$223&lt;=$G$253,$E$253,(IF($H$223&lt;=$G$254,$E$254,(IF($H$223&lt;=$G$255,$E$255)))))))))))))))))))))))))))</f>
        <v>3750</v>
      </c>
      <c r="I236" s="364">
        <v>0</v>
      </c>
      <c r="J236" s="364">
        <v>0</v>
      </c>
      <c r="K236" s="364"/>
      <c r="L236" s="365"/>
      <c r="M236" s="366">
        <f>ROUNDUP((SUM(H236:L236)),3)</f>
        <v>3750</v>
      </c>
      <c r="N236" s="367"/>
      <c r="O236" s="367"/>
      <c r="P236" s="367"/>
      <c r="Q236" s="367"/>
      <c r="R236" s="367"/>
      <c r="S236" s="367"/>
      <c r="T236" s="367"/>
      <c r="U236" s="367"/>
      <c r="V236" s="367"/>
      <c r="W236" s="367"/>
      <c r="X236" s="367"/>
      <c r="Y236" s="367"/>
      <c r="Z236" s="367"/>
      <c r="AA236" s="367"/>
      <c r="AB236" s="367"/>
      <c r="AC236" s="367"/>
      <c r="AD236" s="367"/>
      <c r="AE236" s="367"/>
      <c r="AF236" s="367"/>
      <c r="AG236" s="367"/>
      <c r="AH236" s="367"/>
      <c r="AI236" s="367"/>
      <c r="AJ236" s="367"/>
      <c r="AK236" s="367"/>
      <c r="AL236" s="367"/>
      <c r="AM236" s="367"/>
      <c r="AN236" s="367"/>
      <c r="AO236" s="367"/>
      <c r="AP236" s="367"/>
      <c r="AQ236" s="367"/>
      <c r="AR236" s="367"/>
      <c r="AS236" s="367"/>
      <c r="AT236" s="367"/>
      <c r="AU236" s="367"/>
      <c r="AV236" s="367"/>
      <c r="AW236" s="367"/>
      <c r="AX236" s="367"/>
      <c r="AY236" s="367"/>
      <c r="AZ236" s="367"/>
      <c r="BA236" s="367"/>
      <c r="BB236" s="367"/>
      <c r="BC236" s="367"/>
      <c r="BD236" s="367"/>
      <c r="BE236" s="367"/>
      <c r="BF236" s="367"/>
      <c r="BG236" s="367"/>
      <c r="BH236" s="367"/>
    </row>
    <row r="237" spans="2:60" s="368" customFormat="1" x14ac:dyDescent="0.2">
      <c r="B237" s="361"/>
      <c r="C237" s="362">
        <f>(IF(B237=N12,N187))+(IF(B237=O12,O187))+(IF(B237=P12,P187))+(IF(B237=Q12,Q187))+(IF(B237=R12,R187))+(IF(B237=S12,S187))+(IF(B237=T12,T187))+(IF(B237=U12,U187))+(IF(B237=V12,V187))+(IF(B237=W12,W187))+(IF(B237=X12,X187))+(IF(B237=Y12,Y187))+(IF(B237=Z12,Z187))+(IF(B237=AA12,AA187))+(IF(B237=AB12,AB187))+(IF(B237=AC12,AC187))+(IF(B237=AD12,AD187))+(IF(B237=AE12,AE187))+(IF(B237=AF12,AF187))+(IF(B237=AG12,AG187))+(IF(B237=AH12,AH187))+(IF(B237=AI12,AI187))+(IF(B237=AJ12,AJ187))+(IF(B237=AK12,AK187))+(IF(B237=AL12,AL187))+(IF(B237=AM12,AM187))+(IF(B237=AN12,AN187))+(IF(B237=AO12,AO187))+(IF(B237=AP12,AP187))+(IF(B237=AQ12,AQ187))+(IF(B237=AR12,AR187))+(IF(B237=AS12,AS187))+(IF(B237=AT12,AT187))+(IF(B237=AU12,AU187))+(IF(B237=AV12,AV187))+(IF(B237=AW12,AW187))+(IF(B237=AX12,AX187))+(IF(B237=AY12,AY187))+(IF(B237=AZ12,AZ187))+(IF(B237=BA12,BA187))+(IF(B237=BB12,BB187))+(IF(B237=BC12,BC187))+(IF(B237=BD12,BD187))+(IF(B237=BE12,BE187))+(IF(B237=BF12,BF187))+(IF(B237=BG12,BG187))+(IF(B237=BH12,BH187))</f>
        <v>162020</v>
      </c>
      <c r="D237" s="362"/>
      <c r="E237" s="362">
        <f>((IF(B237=N12,N7))+(IF(B237=O12,O7))+(IF(B237=P12,P7))+(IF(B237=Q12,Q7))+(IF(B237=R12,R7))+(IF(B237=S12,S7))+(IF(B237=T12,T7))+(IF(B237=U12,U7))+(IF(B237=V12,V7))+(IF(B237=W12,W7))+(IF(B237=X12,X7))+(IF(B237=Y12,Y7))+(IF(B237=Z12,Z7))+(IF(B237=AA12,AA7))+(IF(B237=AB12,AB7))+(IF(B237=AC12,AC7))+(IF(B237=AD12,AD7))+(IF(B237=AE12,AE7))+(IF(B237=AF12,AF7))+(IF(B237=AG12,AG7))+(IF(B237=AH12,AH7))+(IF(B237=AI12,AI7))+(IF(B237=AJ12,AJ7))+(IF(B237=AK12,AK7))+(IF(B237=AL12,AL7))+(IF(B237=AM12,AM7))+(IF(B237=AN12,AN7))+(IF(B237=AO12,AO7))+(IF(B237=AP12,AP7))+(IF(B237=AQ12,AQ7))+(IF(B237=AR12,AR7))+(IF(B237=AS12,AS7))+(IF(B237=AT12,AT7))+(IF(B237=AU12,AU7))+(IF(B237=AV12,AV7))+(IF(B237=AW12,AW7))+(IF(B237=AX12,AX7))+(IF(B237=AY12,AY7))+(IF(B237=AZ12,AZ7))+(IF(B237=BA12,BA7))+(IF(B237=BB12,BB7))+(IF(B237=BC12,BC7))+(IF(B237=BD12,BD7))+(IF(B237=BE12,BE7))+(IF(B237=BF12,BF7))+(IF(B237=BG12,BG7))+(IF(B237=BH12,BH7)))*24/22</f>
        <v>46276.378787878806</v>
      </c>
      <c r="F237" s="362">
        <f>((IF(B237=N12,N189))+(IF(B237=O12,O189))+(IF(B237=P12,P189))+(IF(B237=Q12,Q189))+(IF(B237=R12,R189))+(IF(B237=S12,S189))+(IF(B237=T12,T189))+(IF(B237=U12,U189))+(IF(B237=V12,V189))+(IF(B237=W12,W189))+(IF(B237=X12,X189))+(IF(B237=Y12,Y189))+(IF(B237=Z12,Z189))+(IF(B237=AA12,AA189))+(IF(B237=AB12,AB189))+(IF(B237=AC12,AC189))+(IF(B237=AD12,AD189))+(IF(B237=AE12,AE189))+(IF(B237=AF12,AF189))+(IF(B237=AG12,AG189))+(IF(B237=AH12,AH189))+(IF(B237=AI12,AI189))+(IF(B237=AJ12,AJ189))+(IF(B237=AK12,AK189))+(IF(B237=AL12,AL189))+(IF(B237=AM12,AM189))+(IF(B237=AN12,AN189))+(IF(B237=AO12,AO189))+(IF(B237=AP12,AP189))+(IF(B237=AQ12,AQ189))+(IF(B237=AR12,AR189))+(IF(B237=AS12,AS189))+(IF(B237=AT12,AT189))+(IF(B237=AU12,AU189))+(IF(B237=AV12,AV189))+(IF(B237=AW12,AW189))+(IF(B237=AX12,AX189))+(IF(B237=AY12,AY189))+(IF(B237=AZ12,AZ189))+(IF(B237=BA12,BA189))+(IF(B237=BB12,BB189))+(IF(B237=BC12,BC189))+(IF(B237=BD12,BD189))+(IF(B237=BE12,BE189))+(IF(B237=BF12,BF189))+(IF(B237=BG12,BG189))+(IF(B237=BH12,BH189))+(IF(B237=BI12,BI189)))</f>
        <v>352</v>
      </c>
      <c r="G237" s="362">
        <f>C237/E237</f>
        <v>3.5011382533336417</v>
      </c>
      <c r="H237" s="363">
        <f>IF($H$223=0,0,(IF($H$223&lt;=$G$243,$E$243,(IF($H$223&lt;=$G$244,$E$244,(IF($H$223&lt;=$G$245,$E$245,(IF($H$223&lt;=$G$246,$E$246,(IF($H$223&lt;=$G$247,$E$247,(IF($H$223&lt;=$G$248,$E$248,(IF($H$223&lt;=$G$249,$E$249,(IF($H$223&lt;=$G$250,$E$250,(IF($H$223&lt;=$G$251,$E$251,(IF($H$223&lt;=$G$252,$E$252,(IF($H$223&lt;=$G$253,$E$253,(IF($H$223&lt;=$G$254,$E$254,(IF($H$223&lt;=$G$255,$E$255)))))))))))))))))))))))))))</f>
        <v>3750</v>
      </c>
      <c r="I237" s="364">
        <v>0</v>
      </c>
      <c r="J237" s="364">
        <v>0</v>
      </c>
      <c r="K237" s="364"/>
      <c r="L237" s="365"/>
      <c r="M237" s="366">
        <f>ROUNDUP((SUM(H237:L237)),3)</f>
        <v>3750</v>
      </c>
      <c r="N237" s="369"/>
      <c r="O237" s="367"/>
      <c r="P237" s="367"/>
      <c r="Q237" s="367"/>
      <c r="R237" s="367"/>
      <c r="S237" s="367"/>
      <c r="T237" s="367"/>
      <c r="U237" s="367"/>
      <c r="V237" s="367"/>
      <c r="W237" s="367"/>
      <c r="X237" s="367"/>
      <c r="Y237" s="367"/>
      <c r="Z237" s="367"/>
      <c r="AA237" s="367"/>
      <c r="AB237" s="367"/>
      <c r="AC237" s="367"/>
      <c r="AD237" s="367"/>
      <c r="AE237" s="367"/>
      <c r="AF237" s="367"/>
      <c r="AG237" s="367"/>
      <c r="AH237" s="367"/>
      <c r="AI237" s="369"/>
      <c r="AJ237" s="367"/>
      <c r="AK237" s="367"/>
      <c r="AL237" s="367"/>
      <c r="AM237" s="367"/>
      <c r="AN237" s="367"/>
      <c r="AO237" s="367"/>
      <c r="AP237" s="367"/>
      <c r="AQ237" s="367"/>
      <c r="AR237" s="367"/>
      <c r="AS237" s="367"/>
      <c r="AT237" s="367"/>
      <c r="AU237" s="367"/>
      <c r="AV237" s="367"/>
      <c r="AW237" s="367"/>
      <c r="AX237" s="367"/>
      <c r="AY237" s="367"/>
      <c r="AZ237" s="367"/>
      <c r="BA237" s="367"/>
      <c r="BB237" s="367"/>
      <c r="BC237" s="367"/>
      <c r="BD237" s="367"/>
      <c r="BE237" s="367"/>
      <c r="BF237" s="367"/>
      <c r="BG237" s="367"/>
      <c r="BH237" s="367"/>
    </row>
    <row r="238" spans="2:60" s="368" customFormat="1" x14ac:dyDescent="0.2">
      <c r="B238" s="361"/>
      <c r="C238" s="362">
        <f>(IF(B238=N12,N187))+(IF(B238=O12,O187))+(IF(B238=P12,P187))+(IF(B238=Q12,Q187))+(IF(B238=R12,R187))+(IF(B238=S12,S187))+(IF(B238=T12,T187))+(IF(B238=U12,U187))+(IF(B238=V12,V187))+(IF(B238=W12,W187))+(IF(B238=X12,X187))+(IF(B238=Y12,Y187))+(IF(B238=Z12,Z187))+(IF(B238=AA12,AA187))+(IF(B238=AB12,AB187))+(IF(B238=AC12,AC187))+(IF(B238=AD12,AD187))+(IF(B238=AE12,AE187))+(IF(B238=AF12,AF187))+(IF(B238=AG12,AG187))+(IF(B238=AH12,AH187))+(IF(B238=AI12,AI187))+(IF(B238=AJ12,AJ187))+(IF(B238=AK12,AK187))+(IF(B238=AL12,AL187))+(IF(B238=AM12,AM187))+(IF(B238=AN12,AN187))+(IF(B238=AO12,AO187))+(IF(B238=AP12,AP187))+(IF(B238=AQ12,AQ187))+(IF(B238=AR12,AR187))+(IF(B238=AS12,AS187))+(IF(B238=AT12,AT187))+(IF(B238=AU12,AU187))+(IF(B238=AV12,AV187))+(IF(B238=AW12,AW187))+(IF(B238=AX12,AX187))+(IF(B238=AY12,AY187))+(IF(B238=AZ12,AZ187))+(IF(B238=BA12,BA187))+(IF(B238=BB12,BB187))+(IF(B238=BC12,BC187))+(IF(B238=BD12,BD187))+(IF(B238=BE12,BE187))+(IF(B238=BF12,BF187))+(IF(B238=BG12,BG187))+(IF(B238=BH12,BH187))</f>
        <v>162020</v>
      </c>
      <c r="D238" s="362"/>
      <c r="E238" s="362">
        <f>((IF(B238=N12,N7))+(IF(B238=O12,O7))+(IF(B238=P12,P7))+(IF(B238=Q12,Q7))+(IF(B238=R12,R7))+(IF(B238=S12,S7))+(IF(B238=T12,T7))+(IF(B238=U12,U7))+(IF(B238=V12,V7))+(IF(B238=W12,W7))+(IF(B238=X12,X7))+(IF(B238=Y12,Y7))+(IF(B238=Z12,Z7))+(IF(B238=AA12,AA7))+(IF(B238=AB12,AB7))+(IF(B238=AC12,AC7))+(IF(B238=AD12,AD7))+(IF(B238=AE12,AE7))+(IF(B238=AF12,AF7))+(IF(B238=AG12,AG7))+(IF(B238=AH12,AH7))+(IF(B238=AI12,AI7))+(IF(B238=AJ12,AJ7))+(IF(B238=AK12,AK7))+(IF(B238=AL12,AL7))+(IF(B238=AM12,AM7))+(IF(B238=AN12,AN7))+(IF(B238=AO12,AO7))+(IF(B238=AP12,AP7))+(IF(B238=AQ12,AQ7))+(IF(B238=AR12,AR7))+(IF(B238=AS12,AS7))+(IF(B238=AT12,AT7))+(IF(B238=AU12,AU7))+(IF(B238=AV12,AV7))+(IF(B238=AW12,AW7))+(IF(B238=AX12,AX7))+(IF(B238=AY12,AY7))+(IF(B238=AZ12,AZ7))+(IF(B238=BA12,BA7))+(IF(B238=BB12,BB7))+(IF(B238=BC12,BC7))+(IF(B238=BD12,BD7))+(IF(B238=BE12,BE7))+(IF(B238=BF12,BF7))+(IF(B238=BG12,BG7))+(IF(B238=BH12,BH7)))*24/22</f>
        <v>46276.378787878806</v>
      </c>
      <c r="F238" s="362">
        <f>((IF(B238=N12,N189))+(IF(B238=O12,O189))+(IF(B238=P12,P189))+(IF(B238=Q12,Q189))+(IF(B238=R12,R189))+(IF(B238=S12,S189))+(IF(B238=T12,T189))+(IF(B238=U12,U189))+(IF(B238=V12,V189))+(IF(B238=W12,W189))+(IF(B238=X12,X189))+(IF(B238=Y12,Y189))+(IF(B238=Z12,Z189))+(IF(B238=AA12,AA189))+(IF(B238=AB12,AB189))+(IF(B238=AC12,AC189))+(IF(B238=AD12,AD189))+(IF(B238=AE12,AE189))+(IF(B238=AF12,AF189))+(IF(B238=AG12,AG189))+(IF(B238=AH12,AH189))+(IF(B238=AI12,AI189))+(IF(B238=AJ12,AJ189))+(IF(B238=AK12,AK189))+(IF(B238=AL12,AL189))+(IF(B238=AM12,AM189))+(IF(B238=AN12,AN189))+(IF(B238=AO12,AO189))+(IF(B238=AP12,AP189))+(IF(B238=AQ12,AQ189))+(IF(B238=AR12,AR189))+(IF(B238=AS12,AS189))+(IF(B238=AT12,AT189))+(IF(B238=AU12,AU189))+(IF(B238=AV12,AV189))+(IF(B238=AW12,AW189))+(IF(B238=AX12,AX189))+(IF(B238=AY12,AY189))+(IF(B238=AZ12,AZ189))+(IF(B238=BA12,BA189))+(IF(B238=BB12,BB189))+(IF(B238=BC12,BC189))+(IF(B238=BD12,BD189))+(IF(B238=BE12,BE189))+(IF(B238=BF12,BF189))+(IF(B238=BG12,BG189))+(IF(B238=BH12,BH189))+(IF(B238=BI12,BI189)))</f>
        <v>352</v>
      </c>
      <c r="G238" s="362">
        <f>C238/E238</f>
        <v>3.5011382533336417</v>
      </c>
      <c r="H238" s="363">
        <f>IF($H$223=0,0,(IF($H$223&lt;=$G$243,$E$243,(IF($H$223&lt;=$G$244,$E$244,(IF($H$223&lt;=$G$245,$E$245,(IF($H$223&lt;=$G$246,$E$246,(IF($H$223&lt;=$G$247,$E$247,(IF($H$223&lt;=$G$248,$E$248,(IF($H$223&lt;=$G$249,$E$249,(IF($H$223&lt;=$G$250,$E$250,(IF($H$223&lt;=$G$251,$E$251,(IF($H$223&lt;=$G$252,$E$252,(IF($H$223&lt;=$G$253,$E$253,(IF($H$223&lt;=$G$254,$E$254,(IF($H$223&lt;=$G$255,$E$255)))))))))))))))))))))))))))</f>
        <v>3750</v>
      </c>
      <c r="I238" s="364">
        <v>0</v>
      </c>
      <c r="J238" s="364">
        <v>0</v>
      </c>
      <c r="K238" s="364"/>
      <c r="L238" s="365"/>
      <c r="M238" s="366">
        <f>ROUNDUP((SUM(H238:L238)),3)</f>
        <v>3750</v>
      </c>
      <c r="N238" s="369"/>
      <c r="O238" s="367"/>
      <c r="P238" s="367"/>
      <c r="Q238" s="367"/>
      <c r="R238" s="367"/>
      <c r="S238" s="367"/>
      <c r="T238" s="367"/>
      <c r="U238" s="367"/>
      <c r="V238" s="367"/>
      <c r="W238" s="367"/>
      <c r="X238" s="367"/>
      <c r="Y238" s="367"/>
      <c r="Z238" s="367"/>
      <c r="AA238" s="367"/>
      <c r="AB238" s="367"/>
      <c r="AC238" s="367"/>
      <c r="AD238" s="367"/>
      <c r="AE238" s="367"/>
      <c r="AF238" s="367"/>
      <c r="AG238" s="367"/>
      <c r="AH238" s="367"/>
      <c r="AI238" s="369"/>
      <c r="AJ238" s="367"/>
      <c r="AK238" s="367"/>
      <c r="AL238" s="367"/>
      <c r="AM238" s="367"/>
      <c r="AN238" s="367"/>
      <c r="AO238" s="367"/>
      <c r="AP238" s="367"/>
      <c r="AQ238" s="367"/>
      <c r="AR238" s="367"/>
      <c r="AS238" s="367"/>
      <c r="AT238" s="367"/>
      <c r="AU238" s="367"/>
      <c r="AV238" s="367"/>
      <c r="AW238" s="367"/>
      <c r="AX238" s="367"/>
      <c r="AY238" s="367"/>
      <c r="AZ238" s="367"/>
      <c r="BA238" s="367"/>
      <c r="BB238" s="367"/>
      <c r="BC238" s="367"/>
      <c r="BD238" s="367"/>
      <c r="BE238" s="367"/>
      <c r="BF238" s="367"/>
      <c r="BG238" s="367"/>
      <c r="BH238" s="367"/>
    </row>
    <row r="239" spans="2:60" s="368" customFormat="1" ht="13.5" thickBot="1" x14ac:dyDescent="0.25">
      <c r="B239" s="370"/>
      <c r="C239" s="371">
        <f>(IF(B239=N12,N187))+(IF(B239=O12,O187))+(IF(B239=P12,P187))+(IF(B239=Q12,Q187))+(IF(B239=R12,R187))+(IF(B239=S12,S187))+(IF(B239=T12,T187))+(IF(B239=U12,U187))+(IF(B239=V12,V187))+(IF(B239=W12,W187))+(IF(B239=X12,X187))+(IF(B239=Y12,Y187))+(IF(B239=Z12,Z187))+(IF(B239=AA12,AA187))+(IF(B239=AB12,AB187))+(IF(B239=AC12,AC187))+(IF(B239=AD12,AD187))+(IF(B239=AE12,AE187))+(IF(B239=AF12,AF187))+(IF(B239=AG12,AG187))+(IF(B239=AH12,AH187))+(IF(B239=AI12,AI187))+(IF(B239=AJ12,AJ187))+(IF(B239=AK12,AK187))+(IF(B239=AL12,AL187))+(IF(B239=AM12,AM187))+(IF(B239=AN12,AN187))+(IF(B239=AO12,AO187))+(IF(B239=AP12,AP187))+(IF(B239=AQ12,AQ187))+(IF(B239=AR12,AR187))+(IF(B239=AS12,AS187))+(IF(B239=AT12,AT187))+(IF(B239=AU12,AU187))+(IF(B239=AV12,AV187))+(IF(B239=AW12,AW187))+(IF(B239=AX12,AX187))+(IF(B239=AY12,AY187))+(IF(B239=AZ12,AZ187))+(IF(B239=BA12,BA187))+(IF(B239=BB12,BB187))+(IF(B239=BC12,BC187))+(IF(B239=BD12,BD187))+(IF(B239=BE12,BE187))+(IF(B239=BF12,BF187))+(IF(B239=BG12,BG187))+(IF(B239=BH12,BH187))</f>
        <v>162020</v>
      </c>
      <c r="D239" s="371"/>
      <c r="E239" s="362">
        <f>((IF(B239=N12,N7))+(IF(B239=O12,O7))+(IF(B239=P12,P7))+(IF(B239=Q12,Q7))+(IF(B239=R12,R7))+(IF(B239=S12,S7))+(IF(B239=T12,T7))+(IF(B239=U12,U7))+(IF(B239=V12,V7))+(IF(B239=W12,W7))+(IF(B239=X12,X7))+(IF(B239=Y12,Y7))+(IF(B239=Z12,Z7))+(IF(B239=AA12,AA7))+(IF(B239=AB12,AB7))+(IF(B239=AC12,AC7))+(IF(B239=AD12,AD7))+(IF(B239=AE12,AE7))+(IF(B239=AF12,AF7))+(IF(B239=AG12,AG7))+(IF(B239=AH12,AH7))+(IF(B239=AI12,AI7))+(IF(B239=AJ12,AJ7))+(IF(B239=AK12,AK7))+(IF(B239=AL12,AL7))+(IF(B239=AM12,AM7))+(IF(B239=AN12,AN7))+(IF(B239=AO12,AO7))+(IF(B239=AP12,AP7))+(IF(B239=AQ12,AQ7))+(IF(B239=AR12,AR7))+(IF(B239=AS12,AS7))+(IF(B239=AT12,AT7))+(IF(B239=AU12,AU7))+(IF(B239=AV12,AV7))+(IF(B239=AW12,AW7))+(IF(B239=AX12,AX7))+(IF(B239=AY12,AY7))+(IF(B239=AZ12,AZ7))+(IF(B239=BA12,BA7))+(IF(B239=BB12,BB7))+(IF(B239=BC12,BC7))+(IF(B239=BD12,BD7))+(IF(B239=BE12,BE7))+(IF(B239=BF12,BF7))+(IF(B239=BG12,BG7))+(IF(B239=BH12,BH7)))*24/22</f>
        <v>46276.378787878806</v>
      </c>
      <c r="F239" s="371">
        <f>((IF(B239=N12,N189))+(IF(B239=O12,O189))+(IF(B239=P12,P189))+(IF(B239=Q12,Q189))+(IF(B239=R12,R189))+(IF(B239=S12,S189))+(IF(B239=T12,T189))+(IF(B239=U12,U189))+(IF(B239=V12,V189))+(IF(B239=W12,W189))+(IF(B239=X12,X189))+(IF(B239=Y12,Y189))+(IF(B239=Z12,Z189))+(IF(B239=AA12,AA189))+(IF(B239=AB12,AB189))+(IF(B239=AC12,AC189))+(IF(B239=AD12,AD189))+(IF(B239=AE12,AE189))+(IF(B239=AF12,AF189))+(IF(B239=AG12,AG189))+(IF(B239=AH12,AH189))+(IF(B239=AI12,AI189))+(IF(B239=AJ12,AJ189))+(IF(B239=AK12,AK189))+(IF(B239=AL12,AL189))+(IF(B239=AM12,AM189))+(IF(B239=AN12,AN189))+(IF(B239=AO12,AO189))+(IF(B239=AP12,AP189))+(IF(B239=AQ12,AQ189))+(IF(B239=AR12,AR189))+(IF(B239=AS12,AS189))+(IF(B239=AT12,AT189))+(IF(B239=AU12,AU189))+(IF(B239=AV12,AV189))+(IF(B239=AW12,AW189))+(IF(B239=AX12,AX189))+(IF(B239=AY12,AY189))+(IF(B239=AZ12,AZ189))+(IF(B239=BA12,BA189))+(IF(B239=BB12,BB189))+(IF(B239=BC12,BC189))+(IF(B239=BD12,BD189))+(IF(B239=BE12,BE189))+(IF(B239=BF12,BF189))+(IF(B239=BG12,BG189))+(IF(B239=BH12,BH189)))</f>
        <v>352</v>
      </c>
      <c r="G239" s="362">
        <f>C239/E239</f>
        <v>3.5011382533336417</v>
      </c>
      <c r="H239" s="363">
        <f>IF($H$223=0,0,(IF($H$223&lt;=$G$243,$E$243,(IF($H$223&lt;=$G$244,$E$244,(IF($H$223&lt;=$G$245,$E$245,(IF($H$223&lt;=$G$246,$E$246,(IF($H$223&lt;=$G$247,$E$247,(IF($H$223&lt;=$G$248,$E$248,(IF($H$223&lt;=$G$249,$E$249,(IF($H$223&lt;=$G$250,$E$250,(IF($H$223&lt;=$G$251,$E$251,(IF($H$223&lt;=$G$252,$E$252,(IF($H$223&lt;=$G$253,$E$253,(IF($H$223&lt;=$G$254,$E$254,(IF($H$223&lt;=$G$255,$E$255)))))))))))))))))))))))))))</f>
        <v>3750</v>
      </c>
      <c r="I239" s="372">
        <v>0</v>
      </c>
      <c r="J239" s="372">
        <v>0</v>
      </c>
      <c r="K239" s="372"/>
      <c r="L239" s="373"/>
      <c r="M239" s="374">
        <f>ROUNDUP((SUM(H239:L239)),3)</f>
        <v>3750</v>
      </c>
      <c r="N239" s="369"/>
      <c r="O239" s="367"/>
      <c r="P239" s="367"/>
      <c r="Q239" s="367"/>
      <c r="R239" s="367"/>
      <c r="S239" s="367"/>
      <c r="T239" s="367"/>
      <c r="U239" s="367"/>
      <c r="V239" s="367"/>
      <c r="W239" s="367"/>
      <c r="X239" s="367"/>
      <c r="Y239" s="367"/>
      <c r="Z239" s="367"/>
      <c r="AA239" s="367"/>
      <c r="AB239" s="367"/>
      <c r="AC239" s="367"/>
      <c r="AD239" s="367"/>
      <c r="AE239" s="367"/>
      <c r="AF239" s="367"/>
      <c r="AG239" s="367"/>
      <c r="AH239" s="367"/>
      <c r="AI239" s="369"/>
      <c r="AJ239" s="367"/>
      <c r="AK239" s="367"/>
      <c r="AL239" s="367"/>
      <c r="AM239" s="367"/>
      <c r="AN239" s="367"/>
      <c r="AO239" s="367"/>
      <c r="AP239" s="367"/>
      <c r="AQ239" s="367"/>
      <c r="AR239" s="367"/>
      <c r="AS239" s="367"/>
      <c r="AT239" s="367"/>
      <c r="AU239" s="367"/>
      <c r="AV239" s="367"/>
      <c r="AW239" s="367"/>
      <c r="AX239" s="367"/>
      <c r="AY239" s="367"/>
      <c r="AZ239" s="367"/>
      <c r="BA239" s="367"/>
      <c r="BB239" s="367"/>
      <c r="BC239" s="367"/>
      <c r="BD239" s="367"/>
      <c r="BE239" s="367"/>
      <c r="BF239" s="367"/>
      <c r="BG239" s="367"/>
      <c r="BH239" s="367"/>
    </row>
    <row r="240" spans="2:60" s="368" customFormat="1" ht="3" customHeight="1" thickBot="1" x14ac:dyDescent="0.25">
      <c r="B240" s="375"/>
      <c r="C240" s="375"/>
      <c r="D240" s="375"/>
      <c r="E240" s="376"/>
      <c r="F240" s="377"/>
      <c r="G240" s="377"/>
      <c r="H240" s="378"/>
      <c r="I240" s="378"/>
      <c r="J240" s="378"/>
      <c r="K240" s="378"/>
      <c r="L240" s="378"/>
      <c r="M240" s="378"/>
      <c r="N240" s="369"/>
      <c r="O240" s="367"/>
      <c r="P240" s="367"/>
      <c r="Q240" s="367"/>
      <c r="R240" s="367"/>
      <c r="S240" s="367"/>
      <c r="T240" s="367"/>
      <c r="U240" s="367"/>
      <c r="V240" s="367"/>
      <c r="W240" s="367"/>
      <c r="X240" s="367"/>
      <c r="Y240" s="367"/>
      <c r="Z240" s="367"/>
      <c r="AA240" s="367"/>
      <c r="AB240" s="367"/>
      <c r="AC240" s="367"/>
      <c r="AD240" s="367"/>
      <c r="AE240" s="367"/>
      <c r="AF240" s="367"/>
      <c r="AG240" s="367"/>
      <c r="AH240" s="367"/>
      <c r="AI240" s="369"/>
      <c r="AJ240" s="367"/>
      <c r="AK240" s="367"/>
      <c r="AL240" s="367"/>
      <c r="AM240" s="367"/>
      <c r="AN240" s="367"/>
      <c r="AO240" s="367"/>
      <c r="AP240" s="367"/>
      <c r="AQ240" s="367"/>
      <c r="AR240" s="367"/>
      <c r="AS240" s="367"/>
      <c r="AT240" s="367"/>
      <c r="AU240" s="367"/>
      <c r="AV240" s="367"/>
      <c r="AW240" s="367"/>
      <c r="AX240" s="367"/>
      <c r="AY240" s="367"/>
      <c r="AZ240" s="367"/>
      <c r="BA240" s="367"/>
      <c r="BB240" s="367"/>
      <c r="BC240" s="367"/>
      <c r="BD240" s="367"/>
      <c r="BE240" s="367"/>
      <c r="BF240" s="367"/>
      <c r="BG240" s="367"/>
      <c r="BH240" s="367"/>
    </row>
    <row r="241" spans="2:60" s="314" customFormat="1" ht="15.75" customHeight="1" thickBot="1" x14ac:dyDescent="0.25">
      <c r="B241" s="482" t="s">
        <v>207</v>
      </c>
      <c r="C241" s="483"/>
      <c r="D241" s="483"/>
      <c r="E241" s="483"/>
      <c r="F241" s="483"/>
      <c r="G241" s="483"/>
      <c r="H241" s="483"/>
      <c r="I241" s="483"/>
      <c r="J241" s="483"/>
      <c r="K241" s="483"/>
      <c r="L241" s="483"/>
      <c r="M241" s="484"/>
      <c r="N241" s="312"/>
      <c r="O241" s="312"/>
      <c r="P241" s="312"/>
      <c r="Q241" s="312"/>
      <c r="R241" s="312"/>
      <c r="S241" s="312"/>
      <c r="T241" s="312"/>
      <c r="U241" s="312"/>
      <c r="V241" s="312"/>
      <c r="W241" s="312"/>
      <c r="X241" s="312"/>
      <c r="Y241" s="312"/>
      <c r="Z241" s="312"/>
      <c r="AA241" s="312"/>
      <c r="AB241" s="312"/>
      <c r="AC241" s="312"/>
      <c r="AD241" s="312"/>
      <c r="AE241" s="312"/>
      <c r="AF241" s="312"/>
      <c r="AG241" s="312"/>
      <c r="AH241" s="312"/>
      <c r="AI241" s="312"/>
      <c r="AJ241" s="312"/>
      <c r="AK241" s="312"/>
      <c r="AL241" s="312"/>
      <c r="AM241" s="312"/>
      <c r="AN241" s="312"/>
      <c r="AO241" s="312"/>
      <c r="AP241" s="312"/>
      <c r="AQ241" s="312"/>
      <c r="AR241" s="312"/>
      <c r="AS241" s="312"/>
      <c r="AT241" s="312"/>
      <c r="AU241" s="312"/>
      <c r="AV241" s="312"/>
      <c r="AW241" s="312"/>
      <c r="AX241" s="312"/>
      <c r="AY241" s="312"/>
      <c r="AZ241" s="312"/>
      <c r="BA241" s="312"/>
      <c r="BB241" s="312"/>
      <c r="BC241" s="312"/>
      <c r="BD241" s="312"/>
      <c r="BE241" s="312"/>
      <c r="BF241" s="312"/>
      <c r="BG241" s="312"/>
      <c r="BH241" s="312"/>
    </row>
    <row r="242" spans="2:60" s="314" customFormat="1" ht="3" customHeight="1" thickBot="1" x14ac:dyDescent="0.25">
      <c r="B242" s="379"/>
      <c r="C242" s="380"/>
      <c r="D242" s="380"/>
      <c r="E242" s="381"/>
      <c r="F242" s="381"/>
      <c r="G242" s="382"/>
      <c r="H242" s="383"/>
      <c r="I242" s="384"/>
      <c r="J242" s="384"/>
      <c r="K242" s="384"/>
      <c r="L242" s="384"/>
      <c r="M242" s="385"/>
      <c r="N242" s="312"/>
      <c r="O242" s="312"/>
      <c r="P242" s="312"/>
      <c r="Q242" s="312"/>
      <c r="R242" s="312"/>
      <c r="S242" s="312"/>
      <c r="T242" s="312"/>
      <c r="U242" s="312"/>
      <c r="V242" s="312"/>
      <c r="W242" s="312"/>
      <c r="X242" s="312"/>
      <c r="Y242" s="312"/>
      <c r="Z242" s="312"/>
      <c r="AA242" s="312"/>
      <c r="AB242" s="312"/>
      <c r="AC242" s="312"/>
      <c r="AD242" s="312"/>
      <c r="AE242" s="312"/>
      <c r="AF242" s="312"/>
      <c r="AG242" s="312"/>
      <c r="AH242" s="312"/>
      <c r="AI242" s="312"/>
      <c r="AJ242" s="312"/>
      <c r="AK242" s="312"/>
      <c r="AL242" s="312"/>
      <c r="AM242" s="312"/>
      <c r="AN242" s="312"/>
      <c r="AO242" s="312"/>
      <c r="AP242" s="312"/>
      <c r="AQ242" s="312"/>
      <c r="AR242" s="312"/>
      <c r="AS242" s="312"/>
      <c r="AT242" s="312"/>
      <c r="AU242" s="312"/>
      <c r="AV242" s="312"/>
      <c r="AW242" s="312"/>
      <c r="AX242" s="312"/>
      <c r="AY242" s="312"/>
      <c r="AZ242" s="312"/>
      <c r="BA242" s="312"/>
      <c r="BB242" s="312"/>
      <c r="BC242" s="312"/>
      <c r="BD242" s="312"/>
      <c r="BE242" s="312"/>
      <c r="BF242" s="312"/>
      <c r="BG242" s="312"/>
      <c r="BH242" s="312"/>
    </row>
    <row r="243" spans="2:60" s="314" customFormat="1" ht="15" customHeight="1" x14ac:dyDescent="0.2">
      <c r="B243" s="386"/>
      <c r="C243" s="387" t="s">
        <v>208</v>
      </c>
      <c r="D243" s="388"/>
      <c r="E243" s="389">
        <v>3750</v>
      </c>
      <c r="F243" s="390" t="s">
        <v>209</v>
      </c>
      <c r="G243" s="391">
        <v>7000</v>
      </c>
      <c r="H243" s="462" t="s">
        <v>210</v>
      </c>
      <c r="I243" s="463" t="s">
        <v>152</v>
      </c>
      <c r="J243" s="463"/>
      <c r="K243" s="464"/>
      <c r="L243" s="392"/>
      <c r="M243" s="393">
        <f>SUM(N196:BH196)</f>
        <v>6468</v>
      </c>
      <c r="N243" s="312" t="s">
        <v>211</v>
      </c>
      <c r="O243" s="312"/>
      <c r="P243" s="391"/>
      <c r="Q243" s="391"/>
      <c r="R243" s="391"/>
      <c r="S243" s="312"/>
      <c r="T243" s="312"/>
      <c r="U243" s="312"/>
      <c r="V243" s="312"/>
      <c r="W243" s="312"/>
      <c r="X243" s="312"/>
      <c r="Y243" s="312"/>
      <c r="Z243" s="312"/>
      <c r="AA243" s="312"/>
      <c r="AB243" s="312"/>
      <c r="AC243" s="312"/>
      <c r="AD243" s="312"/>
      <c r="AE243" s="312"/>
      <c r="AF243" s="312"/>
      <c r="AG243" s="312"/>
      <c r="AH243" s="312"/>
      <c r="AI243" s="312" t="s">
        <v>211</v>
      </c>
      <c r="AJ243" s="312"/>
      <c r="AK243" s="312"/>
      <c r="AL243" s="312"/>
      <c r="AM243" s="312"/>
      <c r="AN243" s="312"/>
      <c r="AO243" s="312"/>
      <c r="AP243" s="312"/>
      <c r="AQ243" s="312"/>
      <c r="AR243" s="312"/>
      <c r="AS243" s="312"/>
      <c r="AT243" s="312"/>
      <c r="AU243" s="312"/>
      <c r="AV243" s="312"/>
      <c r="AW243" s="312"/>
      <c r="AX243" s="312"/>
      <c r="AY243" s="312"/>
      <c r="AZ243" s="312"/>
      <c r="BA243" s="312"/>
      <c r="BB243" s="312"/>
      <c r="BC243" s="312"/>
      <c r="BD243" s="312"/>
      <c r="BE243" s="312"/>
      <c r="BF243" s="312"/>
      <c r="BG243" s="312"/>
      <c r="BH243" s="312"/>
    </row>
    <row r="244" spans="2:60" s="314" customFormat="1" ht="15" customHeight="1" x14ac:dyDescent="0.2">
      <c r="B244" s="386"/>
      <c r="C244" s="387" t="s">
        <v>212</v>
      </c>
      <c r="D244" s="388"/>
      <c r="E244" s="394">
        <f t="shared" ref="E244:E255" si="30">E243+250</f>
        <v>4000</v>
      </c>
      <c r="F244" s="395">
        <v>7001</v>
      </c>
      <c r="G244" s="391">
        <v>7500</v>
      </c>
      <c r="H244" s="462"/>
      <c r="I244" s="463" t="s">
        <v>213</v>
      </c>
      <c r="J244" s="463"/>
      <c r="K244" s="464"/>
      <c r="L244" s="396"/>
      <c r="M244" s="393">
        <f>SUM(N197:BH197)</f>
        <v>13577</v>
      </c>
      <c r="N244" s="312"/>
      <c r="O244" s="312"/>
      <c r="P244" s="395"/>
      <c r="Q244" s="395"/>
      <c r="R244" s="312"/>
      <c r="S244" s="312"/>
      <c r="T244" s="312"/>
      <c r="U244" s="312"/>
      <c r="V244" s="312"/>
      <c r="W244" s="312"/>
      <c r="X244" s="312"/>
      <c r="Y244" s="312"/>
      <c r="Z244" s="312"/>
      <c r="AA244" s="312"/>
      <c r="AB244" s="312"/>
      <c r="AC244" s="312"/>
      <c r="AD244" s="312"/>
      <c r="AE244" s="312"/>
      <c r="AF244" s="312"/>
      <c r="AG244" s="312"/>
      <c r="AH244" s="312"/>
      <c r="AI244" s="312"/>
      <c r="AJ244" s="312"/>
      <c r="AK244" s="312"/>
      <c r="AL244" s="312"/>
      <c r="AM244" s="312"/>
      <c r="AN244" s="312"/>
      <c r="AO244" s="312"/>
      <c r="AP244" s="312"/>
      <c r="AQ244" s="397"/>
      <c r="AR244" s="397"/>
      <c r="AS244" s="397"/>
      <c r="AT244" s="397"/>
      <c r="AU244" s="397"/>
      <c r="AV244" s="312"/>
      <c r="AW244" s="312"/>
      <c r="AX244" s="312"/>
      <c r="AY244" s="312"/>
      <c r="AZ244" s="312"/>
      <c r="BA244" s="312"/>
      <c r="BB244" s="312"/>
      <c r="BC244" s="312"/>
      <c r="BD244" s="312"/>
      <c r="BE244" s="312"/>
      <c r="BF244" s="312"/>
      <c r="BG244" s="312"/>
      <c r="BH244" s="312"/>
    </row>
    <row r="245" spans="2:60" s="314" customFormat="1" ht="15" customHeight="1" x14ac:dyDescent="0.2">
      <c r="B245" s="386"/>
      <c r="C245" s="398"/>
      <c r="D245" s="312"/>
      <c r="E245" s="394">
        <f t="shared" si="30"/>
        <v>4250</v>
      </c>
      <c r="F245" s="395">
        <v>7501</v>
      </c>
      <c r="G245" s="391">
        <v>8000</v>
      </c>
      <c r="H245" s="462"/>
      <c r="I245" s="463" t="s">
        <v>214</v>
      </c>
      <c r="J245" s="463"/>
      <c r="K245" s="464"/>
      <c r="L245" s="396"/>
      <c r="M245" s="393">
        <f>SUM(N199:BH199)</f>
        <v>5247</v>
      </c>
      <c r="N245" s="312"/>
      <c r="O245" s="312"/>
      <c r="P245" s="395"/>
      <c r="Q245" s="395"/>
      <c r="R245" s="312"/>
      <c r="S245" s="312"/>
      <c r="T245" s="312"/>
      <c r="U245" s="312"/>
      <c r="V245" s="312"/>
      <c r="W245" s="312"/>
      <c r="X245" s="312"/>
      <c r="Y245" s="312"/>
      <c r="Z245" s="312"/>
      <c r="AA245" s="312"/>
      <c r="AB245" s="312"/>
      <c r="AC245" s="312"/>
      <c r="AD245" s="312"/>
      <c r="AE245" s="312"/>
      <c r="AF245" s="312"/>
      <c r="AG245" s="312"/>
      <c r="AH245" s="312"/>
      <c r="AI245" s="312"/>
      <c r="AJ245" s="312"/>
      <c r="AK245" s="312"/>
      <c r="AL245" s="312"/>
      <c r="AM245" s="312"/>
      <c r="AN245" s="312"/>
      <c r="AO245" s="312"/>
      <c r="AP245" s="312"/>
      <c r="AQ245" s="397"/>
      <c r="AR245" s="397"/>
      <c r="AS245" s="397"/>
      <c r="AT245" s="397"/>
      <c r="AU245" s="397"/>
      <c r="AV245" s="312"/>
      <c r="AW245" s="312"/>
      <c r="AX245" s="312"/>
      <c r="AY245" s="312"/>
      <c r="AZ245" s="312"/>
      <c r="BA245" s="312"/>
      <c r="BB245" s="312"/>
      <c r="BC245" s="312"/>
      <c r="BD245" s="312"/>
      <c r="BE245" s="312"/>
      <c r="BF245" s="312"/>
      <c r="BG245" s="312"/>
      <c r="BH245" s="312"/>
    </row>
    <row r="246" spans="2:60" s="314" customFormat="1" ht="15" customHeight="1" x14ac:dyDescent="0.2">
      <c r="B246" s="386"/>
      <c r="C246" s="398"/>
      <c r="D246" s="312"/>
      <c r="E246" s="394">
        <f t="shared" si="30"/>
        <v>4500</v>
      </c>
      <c r="F246" s="395">
        <v>8001</v>
      </c>
      <c r="G246" s="391">
        <v>8500</v>
      </c>
      <c r="H246" s="462"/>
      <c r="I246" s="463" t="s">
        <v>156</v>
      </c>
      <c r="J246" s="463"/>
      <c r="K246" s="464"/>
      <c r="L246" s="396"/>
      <c r="M246" s="393">
        <f>SUM(N200:BH200)</f>
        <v>51512</v>
      </c>
      <c r="N246" s="312"/>
      <c r="O246" s="312"/>
      <c r="P246" s="395"/>
      <c r="Q246" s="395"/>
      <c r="R246" s="312"/>
      <c r="S246" s="312"/>
      <c r="T246" s="312"/>
      <c r="U246" s="312"/>
      <c r="V246" s="312"/>
      <c r="W246" s="312"/>
      <c r="X246" s="312"/>
      <c r="Y246" s="312"/>
      <c r="Z246" s="312"/>
      <c r="AA246" s="312"/>
      <c r="AB246" s="312"/>
      <c r="AC246" s="312"/>
      <c r="AD246" s="312"/>
      <c r="AE246" s="312"/>
      <c r="AF246" s="312"/>
      <c r="AG246" s="312"/>
      <c r="AH246" s="312"/>
      <c r="AI246" s="312"/>
      <c r="AJ246" s="312"/>
      <c r="AK246" s="312"/>
      <c r="AL246" s="312"/>
      <c r="AM246" s="312"/>
      <c r="AN246" s="312"/>
      <c r="AO246" s="312"/>
      <c r="AP246" s="312"/>
      <c r="AQ246" s="397"/>
      <c r="AR246" s="397"/>
      <c r="AS246" s="397"/>
      <c r="AT246" s="397"/>
      <c r="AU246" s="397"/>
      <c r="AV246" s="312"/>
      <c r="AW246" s="312"/>
      <c r="AX246" s="312"/>
      <c r="AY246" s="312"/>
      <c r="AZ246" s="312"/>
      <c r="BA246" s="312"/>
      <c r="BB246" s="312"/>
      <c r="BC246" s="312"/>
      <c r="BD246" s="312"/>
      <c r="BE246" s="312"/>
      <c r="BF246" s="312"/>
      <c r="BG246" s="312"/>
      <c r="BH246" s="312"/>
    </row>
    <row r="247" spans="2:60" s="314" customFormat="1" ht="15" customHeight="1" x14ac:dyDescent="0.2">
      <c r="B247" s="386"/>
      <c r="C247" s="398"/>
      <c r="D247" s="312"/>
      <c r="E247" s="394">
        <f t="shared" si="30"/>
        <v>4750</v>
      </c>
      <c r="F247" s="395">
        <v>8501</v>
      </c>
      <c r="G247" s="391">
        <v>9000</v>
      </c>
      <c r="H247" s="462"/>
      <c r="I247" s="465" t="s">
        <v>215</v>
      </c>
      <c r="J247" s="465"/>
      <c r="K247" s="466"/>
      <c r="L247" s="399"/>
      <c r="M247" s="393">
        <f>SUM(N191:BH191)</f>
        <v>0</v>
      </c>
      <c r="N247" s="312"/>
      <c r="O247" s="312"/>
      <c r="P247" s="395"/>
      <c r="Q247" s="395"/>
      <c r="R247" s="312"/>
      <c r="S247" s="312"/>
      <c r="T247" s="312"/>
      <c r="U247" s="312"/>
      <c r="V247" s="312"/>
      <c r="W247" s="312"/>
      <c r="X247" s="312"/>
      <c r="Y247" s="312"/>
      <c r="Z247" s="312"/>
      <c r="AA247" s="312"/>
      <c r="AB247" s="312"/>
      <c r="AC247" s="312"/>
      <c r="AD247" s="312"/>
      <c r="AE247" s="312"/>
      <c r="AF247" s="312"/>
      <c r="AG247" s="312"/>
      <c r="AH247" s="312"/>
      <c r="AI247" s="312"/>
      <c r="AJ247" s="312"/>
      <c r="AK247" s="312"/>
      <c r="AL247" s="312"/>
      <c r="AM247" s="312"/>
      <c r="AN247" s="312"/>
      <c r="AO247" s="312"/>
      <c r="AP247" s="312"/>
      <c r="AQ247" s="397"/>
      <c r="AR247" s="397"/>
      <c r="AS247" s="397"/>
      <c r="AT247" s="397"/>
      <c r="AU247" s="397"/>
      <c r="AV247" s="312"/>
      <c r="AW247" s="312"/>
      <c r="AX247" s="312"/>
      <c r="AY247" s="312"/>
      <c r="AZ247" s="312"/>
      <c r="BA247" s="312"/>
      <c r="BB247" s="312"/>
      <c r="BC247" s="312"/>
      <c r="BD247" s="312"/>
      <c r="BE247" s="312"/>
      <c r="BF247" s="312"/>
      <c r="BG247" s="312"/>
      <c r="BH247" s="312"/>
    </row>
    <row r="248" spans="2:60" s="314" customFormat="1" ht="15.75" customHeight="1" x14ac:dyDescent="0.2">
      <c r="B248" s="386"/>
      <c r="C248" s="398"/>
      <c r="D248" s="312"/>
      <c r="E248" s="394">
        <f t="shared" si="30"/>
        <v>5000</v>
      </c>
      <c r="F248" s="395">
        <v>9001</v>
      </c>
      <c r="G248" s="391">
        <v>9500</v>
      </c>
      <c r="H248" s="462"/>
      <c r="I248" s="467" t="s">
        <v>216</v>
      </c>
      <c r="J248" s="467"/>
      <c r="K248" s="467"/>
      <c r="L248" s="455">
        <f>SUM(N207:BH207)</f>
        <v>13570</v>
      </c>
      <c r="M248" s="456"/>
      <c r="N248" s="400"/>
      <c r="O248" s="312"/>
      <c r="P248" s="395"/>
      <c r="Q248" s="395"/>
      <c r="R248" s="312"/>
      <c r="S248" s="312"/>
      <c r="T248" s="312"/>
      <c r="U248" s="312"/>
      <c r="V248" s="312"/>
      <c r="W248" s="312"/>
      <c r="X248" s="312"/>
      <c r="Y248" s="312"/>
      <c r="Z248" s="312"/>
      <c r="AA248" s="312"/>
      <c r="AB248" s="312"/>
      <c r="AC248" s="312"/>
      <c r="AD248" s="312"/>
      <c r="AE248" s="312"/>
      <c r="AF248" s="312"/>
      <c r="AG248" s="312"/>
      <c r="AH248" s="312"/>
      <c r="AI248" s="400"/>
      <c r="AJ248" s="312"/>
      <c r="AK248" s="312"/>
      <c r="AL248" s="312"/>
      <c r="AM248" s="312"/>
      <c r="AN248" s="312"/>
      <c r="AO248" s="312"/>
      <c r="AP248" s="312"/>
      <c r="AQ248" s="397"/>
      <c r="AR248" s="397"/>
      <c r="AS248" s="397"/>
      <c r="AT248" s="397"/>
      <c r="AU248" s="397"/>
      <c r="AV248" s="312"/>
      <c r="AW248" s="312"/>
      <c r="AX248" s="312"/>
      <c r="AY248" s="312"/>
      <c r="AZ248" s="312"/>
      <c r="BA248" s="312"/>
      <c r="BB248" s="312"/>
      <c r="BC248" s="312"/>
      <c r="BD248" s="312"/>
      <c r="BE248" s="312"/>
      <c r="BF248" s="312"/>
      <c r="BG248" s="312"/>
      <c r="BH248" s="312"/>
    </row>
    <row r="249" spans="2:60" ht="15.75" customHeight="1" x14ac:dyDescent="0.2">
      <c r="B249" s="386"/>
      <c r="C249" s="398"/>
      <c r="D249" s="312"/>
      <c r="E249" s="394">
        <f t="shared" si="30"/>
        <v>5250</v>
      </c>
      <c r="F249" s="395">
        <v>9501</v>
      </c>
      <c r="G249" s="391">
        <v>10000</v>
      </c>
      <c r="H249" s="462"/>
      <c r="I249" s="457" t="s">
        <v>217</v>
      </c>
      <c r="J249" s="457"/>
      <c r="K249" s="457"/>
      <c r="L249" s="457"/>
      <c r="M249" s="458"/>
      <c r="N249" s="311"/>
      <c r="O249" s="311"/>
      <c r="P249" s="395"/>
      <c r="Q249" s="395"/>
      <c r="R249" s="311"/>
      <c r="S249" s="311"/>
      <c r="T249" s="311"/>
      <c r="U249" s="311"/>
      <c r="V249" s="311"/>
      <c r="W249" s="311"/>
      <c r="X249" s="311"/>
      <c r="Y249" s="311"/>
      <c r="Z249" s="311"/>
      <c r="AA249" s="311"/>
      <c r="AB249" s="311"/>
      <c r="AC249" s="311"/>
      <c r="AD249" s="311"/>
      <c r="AE249" s="311"/>
      <c r="AF249" s="311"/>
      <c r="AG249" s="311"/>
      <c r="AH249" s="311"/>
      <c r="AI249" s="311"/>
      <c r="AJ249" s="311"/>
      <c r="AK249" s="311"/>
      <c r="AL249" s="311"/>
      <c r="AM249" s="311"/>
      <c r="AN249" s="311"/>
      <c r="AO249" s="311"/>
      <c r="AP249" s="311"/>
      <c r="AQ249" s="397"/>
      <c r="AR249" s="397"/>
      <c r="AS249" s="397"/>
      <c r="AT249" s="397"/>
      <c r="AU249" s="397"/>
      <c r="AV249" s="311"/>
      <c r="AW249" s="311"/>
      <c r="AX249" s="311"/>
      <c r="AY249" s="311"/>
      <c r="AZ249" s="311"/>
      <c r="BA249" s="311"/>
      <c r="BB249" s="311"/>
      <c r="BC249" s="311"/>
      <c r="BD249" s="311"/>
      <c r="BE249" s="311"/>
      <c r="BF249" s="311"/>
      <c r="BG249" s="311"/>
      <c r="BH249" s="311"/>
    </row>
    <row r="250" spans="2:60" ht="15" customHeight="1" x14ac:dyDescent="0.2">
      <c r="B250" s="386"/>
      <c r="C250" s="398"/>
      <c r="D250" s="312"/>
      <c r="E250" s="394">
        <f t="shared" si="30"/>
        <v>5500</v>
      </c>
      <c r="F250" s="395">
        <v>10001</v>
      </c>
      <c r="G250" s="391">
        <v>10500</v>
      </c>
      <c r="H250" s="462"/>
      <c r="I250" s="457"/>
      <c r="J250" s="457"/>
      <c r="K250" s="457"/>
      <c r="L250" s="457"/>
      <c r="M250" s="458"/>
      <c r="N250" s="311"/>
      <c r="O250" s="311"/>
      <c r="P250" s="395"/>
      <c r="Q250" s="395"/>
      <c r="R250" s="311"/>
      <c r="S250" s="311"/>
      <c r="T250" s="311"/>
      <c r="U250" s="311"/>
      <c r="V250" s="311"/>
      <c r="W250" s="311"/>
      <c r="X250" s="311"/>
      <c r="Y250" s="311"/>
      <c r="Z250" s="311"/>
      <c r="AA250" s="311"/>
      <c r="AB250" s="311"/>
      <c r="AC250" s="311"/>
      <c r="AD250" s="311"/>
      <c r="AE250" s="311"/>
      <c r="AF250" s="311"/>
      <c r="AG250" s="311"/>
      <c r="AH250" s="311"/>
      <c r="AI250" s="311"/>
      <c r="AJ250" s="311"/>
      <c r="AK250" s="311"/>
      <c r="AL250" s="311"/>
      <c r="AM250" s="311"/>
      <c r="AN250" s="311"/>
      <c r="AO250" s="311"/>
      <c r="AP250" s="311"/>
      <c r="AQ250" s="397"/>
      <c r="AR250" s="397"/>
      <c r="AS250" s="397"/>
      <c r="AT250" s="397"/>
      <c r="AU250" s="397"/>
      <c r="AV250" s="311"/>
      <c r="AW250" s="311"/>
      <c r="AX250" s="311"/>
      <c r="AY250" s="311"/>
      <c r="AZ250" s="311"/>
      <c r="BA250" s="311"/>
      <c r="BB250" s="311"/>
      <c r="BC250" s="311"/>
      <c r="BD250" s="311"/>
      <c r="BE250" s="311"/>
      <c r="BF250" s="311"/>
      <c r="BG250" s="311"/>
      <c r="BH250" s="311"/>
    </row>
    <row r="251" spans="2:60" ht="13.5" customHeight="1" x14ac:dyDescent="0.2">
      <c r="B251" s="386"/>
      <c r="C251" s="398"/>
      <c r="D251" s="312"/>
      <c r="E251" s="394">
        <f t="shared" si="30"/>
        <v>5750</v>
      </c>
      <c r="F251" s="395">
        <v>10501</v>
      </c>
      <c r="G251" s="391">
        <v>11000</v>
      </c>
      <c r="H251" s="462"/>
      <c r="I251" s="457"/>
      <c r="J251" s="457"/>
      <c r="K251" s="457"/>
      <c r="L251" s="457"/>
      <c r="M251" s="458"/>
      <c r="N251" s="311"/>
      <c r="O251" s="311"/>
      <c r="P251" s="395"/>
      <c r="Q251" s="395"/>
      <c r="R251" s="311"/>
      <c r="S251" s="311"/>
      <c r="T251" s="311"/>
      <c r="U251" s="311"/>
      <c r="V251" s="311"/>
      <c r="W251" s="311"/>
      <c r="X251" s="311"/>
      <c r="Y251" s="311"/>
      <c r="Z251" s="311"/>
      <c r="AA251" s="311"/>
      <c r="AB251" s="311"/>
      <c r="AC251" s="311"/>
      <c r="AD251" s="311"/>
      <c r="AE251" s="311"/>
      <c r="AF251" s="311"/>
      <c r="AG251" s="311"/>
      <c r="AH251" s="311"/>
      <c r="AI251" s="311"/>
      <c r="AJ251" s="311"/>
      <c r="AK251" s="311"/>
      <c r="AL251" s="311"/>
      <c r="AM251" s="311"/>
      <c r="AN251" s="311"/>
      <c r="AO251" s="311"/>
      <c r="AP251" s="311"/>
      <c r="AQ251" s="397"/>
      <c r="AR251" s="397"/>
      <c r="AS251" s="397"/>
      <c r="AT251" s="397"/>
      <c r="AU251" s="397"/>
      <c r="AV251" s="311"/>
      <c r="AW251" s="311"/>
      <c r="AX251" s="311"/>
      <c r="AY251" s="311"/>
      <c r="AZ251" s="311"/>
      <c r="BA251" s="311"/>
      <c r="BB251" s="311"/>
      <c r="BC251" s="311"/>
      <c r="BD251" s="311"/>
      <c r="BE251" s="311"/>
      <c r="BF251" s="311"/>
      <c r="BG251" s="311"/>
      <c r="BH251" s="311"/>
    </row>
    <row r="252" spans="2:60" ht="15" customHeight="1" x14ac:dyDescent="0.2">
      <c r="B252" s="386"/>
      <c r="C252" s="398"/>
      <c r="D252" s="312"/>
      <c r="E252" s="394">
        <f t="shared" si="30"/>
        <v>6000</v>
      </c>
      <c r="F252" s="395">
        <v>11001</v>
      </c>
      <c r="G252" s="391">
        <v>11500</v>
      </c>
      <c r="H252" s="462"/>
      <c r="I252" s="457"/>
      <c r="J252" s="457"/>
      <c r="K252" s="457"/>
      <c r="L252" s="457"/>
      <c r="M252" s="458"/>
      <c r="N252" s="311"/>
      <c r="O252" s="311"/>
      <c r="P252" s="395"/>
      <c r="Q252" s="395"/>
      <c r="R252" s="311"/>
      <c r="S252" s="311"/>
      <c r="T252" s="311"/>
      <c r="U252" s="311"/>
      <c r="V252" s="311"/>
      <c r="W252" s="311"/>
      <c r="X252" s="311"/>
      <c r="Y252" s="311"/>
      <c r="Z252" s="311"/>
      <c r="AA252" s="311"/>
      <c r="AB252" s="311"/>
      <c r="AC252" s="311"/>
      <c r="AD252" s="311"/>
      <c r="AE252" s="311"/>
      <c r="AF252" s="311"/>
      <c r="AG252" s="311"/>
      <c r="AH252" s="311"/>
      <c r="AI252" s="311"/>
      <c r="AJ252" s="311"/>
      <c r="AK252" s="311"/>
      <c r="AL252" s="311"/>
      <c r="AM252" s="311"/>
      <c r="AN252" s="311"/>
      <c r="AO252" s="311"/>
      <c r="AP252" s="311"/>
      <c r="AQ252" s="397"/>
      <c r="AR252" s="397"/>
      <c r="AS252" s="397"/>
      <c r="AT252" s="397"/>
      <c r="AU252" s="397"/>
      <c r="AV252" s="311"/>
      <c r="AW252" s="311"/>
      <c r="AX252" s="311"/>
      <c r="AY252" s="311"/>
      <c r="AZ252" s="311"/>
      <c r="BA252" s="311"/>
      <c r="BB252" s="311"/>
      <c r="BC252" s="311"/>
      <c r="BD252" s="311"/>
      <c r="BE252" s="311"/>
      <c r="BF252" s="311"/>
      <c r="BG252" s="311"/>
      <c r="BH252" s="311"/>
    </row>
    <row r="253" spans="2:60" ht="13.5" customHeight="1" x14ac:dyDescent="0.2">
      <c r="B253" s="386"/>
      <c r="C253" s="398"/>
      <c r="D253" s="312"/>
      <c r="E253" s="394">
        <f t="shared" si="30"/>
        <v>6250</v>
      </c>
      <c r="F253" s="395">
        <v>11501</v>
      </c>
      <c r="G253" s="391">
        <v>12000</v>
      </c>
      <c r="H253" s="462"/>
      <c r="I253" s="457"/>
      <c r="J253" s="457"/>
      <c r="K253" s="457"/>
      <c r="L253" s="457"/>
      <c r="M253" s="458"/>
      <c r="N253" s="311"/>
      <c r="O253" s="311"/>
      <c r="P253" s="395"/>
      <c r="Q253" s="395"/>
      <c r="R253" s="311"/>
      <c r="S253" s="311"/>
      <c r="T253" s="311"/>
      <c r="U253" s="311"/>
      <c r="V253" s="311"/>
      <c r="W253" s="311"/>
      <c r="X253" s="311"/>
      <c r="Y253" s="311"/>
      <c r="Z253" s="311"/>
      <c r="AA253" s="311"/>
      <c r="AB253" s="311"/>
      <c r="AC253" s="311"/>
      <c r="AD253" s="311"/>
      <c r="AE253" s="311"/>
      <c r="AF253" s="311"/>
      <c r="AG253" s="311"/>
      <c r="AH253" s="311"/>
      <c r="AI253" s="311"/>
      <c r="AJ253" s="311"/>
      <c r="AK253" s="311"/>
      <c r="AL253" s="311"/>
      <c r="AM253" s="311"/>
      <c r="AN253" s="311"/>
      <c r="AO253" s="311"/>
      <c r="AP253" s="311"/>
      <c r="AQ253" s="397"/>
      <c r="AR253" s="397"/>
      <c r="AS253" s="397"/>
      <c r="AT253" s="397"/>
      <c r="AU253" s="397"/>
      <c r="AV253" s="311"/>
      <c r="AW253" s="311"/>
      <c r="AX253" s="311"/>
      <c r="AY253" s="311"/>
      <c r="AZ253" s="311"/>
      <c r="BA253" s="311"/>
      <c r="BB253" s="311"/>
      <c r="BC253" s="311"/>
      <c r="BD253" s="311"/>
      <c r="BE253" s="311"/>
      <c r="BF253" s="311"/>
      <c r="BG253" s="311"/>
      <c r="BH253" s="311"/>
    </row>
    <row r="254" spans="2:60" ht="15" customHeight="1" x14ac:dyDescent="0.2">
      <c r="B254" s="386"/>
      <c r="C254" s="398"/>
      <c r="D254" s="312"/>
      <c r="E254" s="394">
        <f t="shared" si="30"/>
        <v>6500</v>
      </c>
      <c r="F254" s="395">
        <v>12001</v>
      </c>
      <c r="G254" s="391">
        <v>12500</v>
      </c>
      <c r="H254" s="462"/>
      <c r="I254" s="457"/>
      <c r="J254" s="457"/>
      <c r="K254" s="457"/>
      <c r="L254" s="457"/>
      <c r="M254" s="458"/>
      <c r="N254" s="311"/>
      <c r="O254" s="311"/>
      <c r="P254" s="395"/>
      <c r="Q254" s="395"/>
      <c r="R254" s="311"/>
      <c r="S254" s="311"/>
      <c r="T254" s="311"/>
      <c r="U254" s="311"/>
      <c r="V254" s="311"/>
      <c r="W254" s="311"/>
      <c r="X254" s="311"/>
      <c r="Y254" s="311"/>
      <c r="Z254" s="311"/>
      <c r="AA254" s="311"/>
      <c r="AB254" s="311"/>
      <c r="AC254" s="311"/>
      <c r="AD254" s="311"/>
      <c r="AE254" s="311"/>
      <c r="AF254" s="311"/>
      <c r="AG254" s="311"/>
      <c r="AH254" s="311"/>
      <c r="AI254" s="311"/>
      <c r="AJ254" s="311"/>
      <c r="AK254" s="311"/>
      <c r="AL254" s="311"/>
      <c r="AM254" s="311"/>
      <c r="AN254" s="311"/>
      <c r="AO254" s="311"/>
      <c r="AP254" s="311"/>
      <c r="AQ254" s="397"/>
      <c r="AR254" s="397"/>
      <c r="AS254" s="397"/>
      <c r="AT254" s="397"/>
      <c r="AU254" s="397"/>
      <c r="AV254" s="311"/>
      <c r="AW254" s="311"/>
      <c r="AX254" s="311"/>
      <c r="AY254" s="311"/>
      <c r="AZ254" s="311"/>
      <c r="BA254" s="311"/>
      <c r="BB254" s="311"/>
      <c r="BC254" s="311"/>
      <c r="BD254" s="311"/>
      <c r="BE254" s="311"/>
      <c r="BF254" s="311"/>
      <c r="BG254" s="311"/>
      <c r="BH254" s="311"/>
    </row>
    <row r="255" spans="2:60" ht="12" customHeight="1" x14ac:dyDescent="0.2">
      <c r="B255" s="386"/>
      <c r="C255" s="398"/>
      <c r="D255" s="312"/>
      <c r="E255" s="394">
        <f t="shared" si="30"/>
        <v>6750</v>
      </c>
      <c r="F255" s="395">
        <v>12501</v>
      </c>
      <c r="G255" s="391">
        <v>13000</v>
      </c>
      <c r="H255" s="462"/>
      <c r="I255" s="457"/>
      <c r="J255" s="457"/>
      <c r="K255" s="457"/>
      <c r="L255" s="457"/>
      <c r="M255" s="458"/>
      <c r="N255" s="311"/>
      <c r="O255" s="311"/>
      <c r="P255" s="395"/>
      <c r="Q255" s="395"/>
      <c r="R255" s="311"/>
      <c r="S255" s="311"/>
      <c r="T255" s="311"/>
      <c r="U255" s="311"/>
      <c r="V255" s="311"/>
      <c r="W255" s="311"/>
      <c r="X255" s="311"/>
      <c r="Y255" s="311"/>
      <c r="Z255" s="311"/>
      <c r="AA255" s="311"/>
      <c r="AB255" s="311"/>
      <c r="AC255" s="311"/>
      <c r="AD255" s="311"/>
      <c r="AE255" s="311"/>
      <c r="AF255" s="311"/>
      <c r="AG255" s="311"/>
      <c r="AH255" s="311"/>
      <c r="AI255" s="311"/>
      <c r="AJ255" s="311"/>
      <c r="AK255" s="311"/>
      <c r="AL255" s="311"/>
      <c r="AM255" s="311"/>
      <c r="AN255" s="311"/>
      <c r="AO255" s="311"/>
      <c r="AP255" s="311"/>
      <c r="AQ255" s="397"/>
      <c r="AR255" s="397"/>
      <c r="AS255" s="397"/>
      <c r="AT255" s="397"/>
      <c r="AU255" s="397"/>
      <c r="AV255" s="311"/>
      <c r="AW255" s="311"/>
      <c r="AX255" s="311"/>
      <c r="AY255" s="311"/>
      <c r="AZ255" s="311"/>
      <c r="BA255" s="311"/>
      <c r="BB255" s="311"/>
      <c r="BC255" s="311"/>
      <c r="BD255" s="311"/>
      <c r="BE255" s="311"/>
      <c r="BF255" s="311"/>
      <c r="BG255" s="311"/>
      <c r="BH255" s="311"/>
    </row>
    <row r="256" spans="2:60" ht="15.75" customHeight="1" thickBot="1" x14ac:dyDescent="0.25">
      <c r="B256" s="386"/>
      <c r="C256" s="398"/>
      <c r="D256" s="312"/>
      <c r="E256" s="401" t="s">
        <v>218</v>
      </c>
      <c r="F256" s="402" t="s">
        <v>219</v>
      </c>
      <c r="G256" s="402"/>
      <c r="H256" s="462"/>
      <c r="I256" s="457"/>
      <c r="J256" s="457"/>
      <c r="K256" s="457"/>
      <c r="L256" s="457"/>
      <c r="M256" s="458"/>
      <c r="N256" s="311"/>
      <c r="O256" s="311"/>
      <c r="P256" s="395"/>
      <c r="Q256" s="395"/>
      <c r="R256" s="311"/>
      <c r="S256" s="311"/>
      <c r="T256" s="311"/>
      <c r="U256" s="311"/>
      <c r="V256" s="311"/>
      <c r="W256" s="311"/>
      <c r="X256" s="311"/>
      <c r="Y256" s="311"/>
      <c r="Z256" s="311"/>
      <c r="AA256" s="311"/>
      <c r="AB256" s="311"/>
      <c r="AC256" s="311"/>
      <c r="AD256" s="311"/>
      <c r="AE256" s="311"/>
      <c r="AF256" s="311"/>
      <c r="AG256" s="311"/>
      <c r="AH256" s="311"/>
      <c r="AI256" s="311"/>
      <c r="AJ256" s="311"/>
      <c r="AK256" s="311"/>
      <c r="AL256" s="311"/>
      <c r="AM256" s="311"/>
      <c r="AN256" s="311"/>
      <c r="AO256" s="311"/>
      <c r="AP256" s="311"/>
      <c r="AQ256" s="397"/>
      <c r="AR256" s="397"/>
      <c r="AS256" s="397"/>
      <c r="AT256" s="397"/>
      <c r="AU256" s="397"/>
      <c r="AV256" s="311"/>
      <c r="AW256" s="311"/>
      <c r="AX256" s="311"/>
      <c r="AY256" s="311"/>
      <c r="AZ256" s="311"/>
      <c r="BA256" s="311"/>
      <c r="BB256" s="311"/>
      <c r="BC256" s="311"/>
      <c r="BD256" s="311"/>
      <c r="BE256" s="311"/>
      <c r="BF256" s="311"/>
      <c r="BG256" s="311"/>
      <c r="BH256" s="311"/>
    </row>
    <row r="257" spans="2:60" s="314" customFormat="1" ht="3" customHeight="1" thickBot="1" x14ac:dyDescent="0.25">
      <c r="B257" s="386"/>
      <c r="C257" s="398"/>
      <c r="D257" s="312"/>
      <c r="E257" s="403"/>
      <c r="F257" s="402"/>
      <c r="G257" s="402"/>
      <c r="H257" s="404"/>
      <c r="I257" s="312"/>
      <c r="J257" s="312"/>
      <c r="K257" s="312"/>
      <c r="L257" s="312"/>
      <c r="M257" s="405"/>
      <c r="N257" s="312"/>
      <c r="O257" s="312"/>
      <c r="P257" s="395"/>
      <c r="Q257" s="395"/>
      <c r="R257" s="312"/>
      <c r="S257" s="312"/>
      <c r="T257" s="312"/>
      <c r="U257" s="312"/>
      <c r="V257" s="312"/>
      <c r="W257" s="312"/>
      <c r="X257" s="312"/>
      <c r="Y257" s="312"/>
      <c r="Z257" s="312"/>
      <c r="AA257" s="312"/>
      <c r="AB257" s="312"/>
      <c r="AC257" s="312"/>
      <c r="AD257" s="312"/>
      <c r="AE257" s="312"/>
      <c r="AF257" s="312"/>
      <c r="AG257" s="312"/>
      <c r="AH257" s="312"/>
      <c r="AI257" s="312"/>
      <c r="AJ257" s="312"/>
      <c r="AK257" s="312"/>
      <c r="AL257" s="312"/>
      <c r="AM257" s="312"/>
      <c r="AN257" s="312"/>
      <c r="AO257" s="312"/>
      <c r="AP257" s="312"/>
      <c r="AQ257" s="397"/>
      <c r="AR257" s="397"/>
      <c r="AS257" s="397"/>
      <c r="AT257" s="397"/>
      <c r="AU257" s="397"/>
      <c r="AV257" s="312"/>
      <c r="AW257" s="312"/>
      <c r="AX257" s="312"/>
      <c r="AY257" s="312"/>
      <c r="AZ257" s="312"/>
      <c r="BA257" s="312"/>
      <c r="BB257" s="312"/>
      <c r="BC257" s="312"/>
      <c r="BD257" s="312"/>
      <c r="BE257" s="312"/>
      <c r="BF257" s="312"/>
      <c r="BG257" s="312"/>
      <c r="BH257" s="312"/>
    </row>
    <row r="258" spans="2:60" ht="13.5" thickBot="1" x14ac:dyDescent="0.25">
      <c r="B258" s="386"/>
      <c r="C258" s="387" t="s">
        <v>220</v>
      </c>
      <c r="D258" s="388"/>
      <c r="E258" s="406" t="s">
        <v>176</v>
      </c>
      <c r="F258" s="312" t="s">
        <v>221</v>
      </c>
      <c r="G258" s="312"/>
      <c r="H258" s="312"/>
      <c r="I258" s="312"/>
      <c r="J258" s="312"/>
      <c r="K258" s="312"/>
      <c r="L258" s="312"/>
      <c r="M258" s="405"/>
      <c r="N258" s="311"/>
      <c r="O258" s="311"/>
      <c r="P258" s="395"/>
      <c r="Q258" s="395"/>
      <c r="R258" s="311"/>
      <c r="S258" s="311"/>
      <c r="T258" s="311"/>
      <c r="U258" s="311"/>
      <c r="V258" s="311"/>
      <c r="W258" s="311"/>
      <c r="X258" s="311"/>
      <c r="Y258" s="311"/>
      <c r="Z258" s="311"/>
      <c r="AA258" s="311"/>
      <c r="AB258" s="311"/>
      <c r="AC258" s="311"/>
      <c r="AD258" s="311"/>
      <c r="AE258" s="311"/>
      <c r="AF258" s="311"/>
      <c r="AG258" s="311"/>
      <c r="AH258" s="311"/>
      <c r="AI258" s="311"/>
      <c r="AJ258" s="311"/>
      <c r="AK258" s="311"/>
      <c r="AL258" s="311"/>
      <c r="AM258" s="311"/>
      <c r="AN258" s="311"/>
      <c r="AO258" s="311"/>
      <c r="AP258" s="311"/>
      <c r="AQ258" s="312"/>
      <c r="AR258" s="312"/>
      <c r="AS258" s="312"/>
      <c r="AT258" s="312"/>
      <c r="AU258" s="312"/>
      <c r="AV258" s="311"/>
      <c r="AW258" s="311"/>
      <c r="AX258" s="311"/>
      <c r="AY258" s="311"/>
      <c r="AZ258" s="311"/>
      <c r="BA258" s="311"/>
      <c r="BB258" s="311"/>
      <c r="BC258" s="311"/>
      <c r="BD258" s="311"/>
      <c r="BE258" s="311"/>
      <c r="BF258" s="311"/>
      <c r="BG258" s="311"/>
      <c r="BH258" s="311"/>
    </row>
    <row r="259" spans="2:60" ht="3" customHeight="1" thickBot="1" x14ac:dyDescent="0.25">
      <c r="B259" s="386"/>
      <c r="C259" s="398"/>
      <c r="D259" s="312"/>
      <c r="E259" s="312"/>
      <c r="F259" s="312"/>
      <c r="G259" s="312"/>
      <c r="H259" s="312"/>
      <c r="I259" s="312"/>
      <c r="J259" s="312"/>
      <c r="K259" s="312"/>
      <c r="L259" s="312"/>
      <c r="M259" s="405"/>
      <c r="N259" s="311"/>
      <c r="O259" s="311"/>
      <c r="P259" s="395"/>
      <c r="Q259" s="395"/>
      <c r="R259" s="311"/>
      <c r="S259" s="311"/>
      <c r="T259" s="311"/>
      <c r="U259" s="311"/>
      <c r="V259" s="311"/>
      <c r="W259" s="311"/>
      <c r="X259" s="311"/>
      <c r="Y259" s="311"/>
      <c r="Z259" s="311"/>
      <c r="AA259" s="311"/>
      <c r="AB259" s="311"/>
      <c r="AC259" s="311"/>
      <c r="AD259" s="311"/>
      <c r="AE259" s="311"/>
      <c r="AF259" s="311"/>
      <c r="AG259" s="311"/>
      <c r="AH259" s="311"/>
      <c r="AI259" s="311"/>
      <c r="AJ259" s="311"/>
      <c r="AK259" s="311"/>
      <c r="AL259" s="311"/>
      <c r="AM259" s="311"/>
      <c r="AN259" s="311"/>
      <c r="AO259" s="311"/>
      <c r="AP259" s="311"/>
      <c r="AQ259" s="312"/>
      <c r="AR259" s="312"/>
      <c r="AS259" s="312"/>
      <c r="AT259" s="312"/>
      <c r="AU259" s="312"/>
      <c r="AV259" s="311"/>
      <c r="AW259" s="311"/>
      <c r="AX259" s="311"/>
      <c r="AY259" s="311"/>
      <c r="AZ259" s="311"/>
      <c r="BA259" s="311"/>
      <c r="BB259" s="311"/>
      <c r="BC259" s="311"/>
      <c r="BD259" s="311"/>
      <c r="BE259" s="311"/>
      <c r="BF259" s="311"/>
      <c r="BG259" s="311"/>
      <c r="BH259" s="311"/>
    </row>
    <row r="260" spans="2:60" ht="13.5" thickBot="1" x14ac:dyDescent="0.25">
      <c r="B260" s="386"/>
      <c r="C260" s="387" t="s">
        <v>222</v>
      </c>
      <c r="D260" s="407"/>
      <c r="E260" s="408">
        <v>500</v>
      </c>
      <c r="F260" s="409" t="s">
        <v>223</v>
      </c>
      <c r="G260" s="312"/>
      <c r="H260" s="312"/>
      <c r="I260" s="312"/>
      <c r="J260" s="312"/>
      <c r="K260" s="312"/>
      <c r="L260" s="312"/>
      <c r="M260" s="405"/>
      <c r="N260" s="311"/>
      <c r="O260" s="311"/>
      <c r="P260" s="395"/>
      <c r="Q260" s="395"/>
      <c r="R260" s="311"/>
      <c r="S260" s="311"/>
      <c r="T260" s="311"/>
      <c r="U260" s="311"/>
      <c r="V260" s="311"/>
      <c r="W260" s="311"/>
      <c r="X260" s="311"/>
      <c r="Y260" s="311"/>
      <c r="Z260" s="311"/>
      <c r="AA260" s="311"/>
      <c r="AB260" s="311"/>
      <c r="AC260" s="311"/>
      <c r="AD260" s="311"/>
      <c r="AE260" s="311"/>
      <c r="AF260" s="311"/>
      <c r="AG260" s="311"/>
      <c r="AH260" s="311"/>
      <c r="AI260" s="311"/>
      <c r="AJ260" s="311"/>
      <c r="AK260" s="311"/>
      <c r="AL260" s="311"/>
      <c r="AM260" s="311"/>
      <c r="AN260" s="311"/>
      <c r="AO260" s="311"/>
      <c r="AP260" s="311"/>
      <c r="AQ260" s="312"/>
      <c r="AR260" s="312"/>
      <c r="AS260" s="312"/>
      <c r="AT260" s="312"/>
      <c r="AU260" s="312"/>
      <c r="AV260" s="311"/>
      <c r="AW260" s="311"/>
      <c r="AX260" s="311"/>
      <c r="AY260" s="311"/>
      <c r="AZ260" s="311"/>
      <c r="BA260" s="311"/>
      <c r="BB260" s="311"/>
      <c r="BC260" s="311"/>
      <c r="BD260" s="311"/>
      <c r="BE260" s="311"/>
      <c r="BF260" s="311"/>
      <c r="BG260" s="311"/>
      <c r="BH260" s="311"/>
    </row>
    <row r="261" spans="2:60" ht="3" customHeight="1" thickBot="1" x14ac:dyDescent="0.25">
      <c r="B261" s="386"/>
      <c r="C261" s="398"/>
      <c r="D261" s="312"/>
      <c r="E261" s="312"/>
      <c r="F261" s="312"/>
      <c r="G261" s="312"/>
      <c r="H261" s="312"/>
      <c r="I261" s="312"/>
      <c r="J261" s="312"/>
      <c r="K261" s="312"/>
      <c r="L261" s="312"/>
      <c r="M261" s="405"/>
      <c r="N261" s="311"/>
      <c r="O261" s="311"/>
      <c r="P261" s="395"/>
      <c r="Q261" s="395"/>
      <c r="R261" s="311"/>
      <c r="S261" s="311"/>
      <c r="T261" s="311"/>
      <c r="U261" s="311"/>
      <c r="V261" s="311"/>
      <c r="W261" s="311"/>
      <c r="X261" s="311"/>
      <c r="Y261" s="311"/>
      <c r="Z261" s="311"/>
      <c r="AA261" s="311"/>
      <c r="AB261" s="311"/>
      <c r="AC261" s="311"/>
      <c r="AD261" s="311"/>
      <c r="AE261" s="311"/>
      <c r="AF261" s="311"/>
      <c r="AG261" s="311"/>
      <c r="AH261" s="311"/>
      <c r="AI261" s="311"/>
      <c r="AJ261" s="311"/>
      <c r="AK261" s="311"/>
      <c r="AL261" s="311"/>
      <c r="AM261" s="311"/>
      <c r="AN261" s="311"/>
      <c r="AO261" s="311"/>
      <c r="AP261" s="311"/>
      <c r="AQ261" s="311"/>
      <c r="AR261" s="311"/>
      <c r="AS261" s="311"/>
      <c r="AT261" s="311"/>
      <c r="AU261" s="311"/>
      <c r="AV261" s="311"/>
      <c r="AW261" s="311"/>
      <c r="AX261" s="311"/>
      <c r="AY261" s="311"/>
      <c r="AZ261" s="311"/>
      <c r="BA261" s="311"/>
      <c r="BB261" s="311"/>
      <c r="BC261" s="311"/>
      <c r="BD261" s="311"/>
      <c r="BE261" s="311"/>
      <c r="BF261" s="311"/>
      <c r="BG261" s="311"/>
      <c r="BH261" s="311"/>
    </row>
    <row r="262" spans="2:60" ht="13.5" thickBot="1" x14ac:dyDescent="0.25">
      <c r="B262" s="386"/>
      <c r="C262" s="387" t="s">
        <v>224</v>
      </c>
      <c r="D262" s="388"/>
      <c r="E262" s="408">
        <v>500</v>
      </c>
      <c r="F262" s="410" t="s">
        <v>225</v>
      </c>
      <c r="G262" s="312"/>
      <c r="H262" s="312"/>
      <c r="I262" s="312"/>
      <c r="J262" s="312"/>
      <c r="K262" s="312"/>
      <c r="L262" s="312"/>
      <c r="M262" s="405"/>
      <c r="N262" s="311"/>
      <c r="O262" s="311"/>
      <c r="P262" s="395"/>
      <c r="Q262" s="395"/>
      <c r="R262" s="312"/>
      <c r="S262" s="312"/>
      <c r="T262" s="312"/>
      <c r="U262" s="311"/>
      <c r="V262" s="311"/>
      <c r="W262" s="311"/>
      <c r="X262" s="311"/>
      <c r="Y262" s="311"/>
      <c r="Z262" s="311"/>
      <c r="AA262" s="311"/>
      <c r="AB262" s="311"/>
      <c r="AC262" s="311"/>
      <c r="AD262" s="311"/>
      <c r="AE262" s="311"/>
      <c r="AF262" s="311"/>
      <c r="AG262" s="311"/>
      <c r="AH262" s="311"/>
      <c r="AI262" s="311"/>
      <c r="AJ262" s="311"/>
      <c r="AK262" s="311"/>
      <c r="AL262" s="312"/>
      <c r="AM262" s="311"/>
      <c r="AN262" s="311"/>
      <c r="AO262" s="311"/>
      <c r="AP262" s="311"/>
      <c r="AQ262" s="311"/>
      <c r="AR262" s="311"/>
      <c r="AS262" s="311"/>
      <c r="AT262" s="311"/>
      <c r="AU262" s="311"/>
      <c r="AV262" s="311"/>
      <c r="AW262" s="311"/>
      <c r="AX262" s="311"/>
      <c r="AY262" s="311"/>
      <c r="AZ262" s="311"/>
      <c r="BA262" s="311"/>
      <c r="BB262" s="311"/>
      <c r="BC262" s="311"/>
      <c r="BD262" s="311"/>
      <c r="BE262" s="311"/>
      <c r="BF262" s="311"/>
      <c r="BG262" s="311"/>
      <c r="BH262" s="311"/>
    </row>
    <row r="263" spans="2:60" ht="3" customHeight="1" thickBot="1" x14ac:dyDescent="0.25">
      <c r="B263" s="411"/>
      <c r="C263" s="312"/>
      <c r="D263" s="312"/>
      <c r="E263" s="312"/>
      <c r="F263" s="312"/>
      <c r="G263" s="312"/>
      <c r="H263" s="312"/>
      <c r="I263" s="312"/>
      <c r="J263" s="312"/>
      <c r="K263" s="312"/>
      <c r="L263" s="312"/>
      <c r="M263" s="405"/>
      <c r="N263" s="311"/>
      <c r="O263" s="311"/>
      <c r="P263" s="395"/>
      <c r="Q263" s="395"/>
      <c r="R263" s="311"/>
      <c r="S263" s="311"/>
      <c r="T263" s="311"/>
      <c r="U263" s="311"/>
      <c r="V263" s="412"/>
      <c r="W263" s="412"/>
      <c r="X263" s="311"/>
      <c r="Y263" s="311"/>
      <c r="Z263" s="311"/>
      <c r="AA263" s="311"/>
      <c r="AB263" s="311"/>
      <c r="AC263" s="311"/>
      <c r="AD263" s="311"/>
      <c r="AE263" s="311"/>
      <c r="AF263" s="311"/>
      <c r="AG263" s="311"/>
      <c r="AH263" s="311"/>
      <c r="AI263" s="311"/>
      <c r="AJ263" s="311"/>
      <c r="AK263" s="311"/>
      <c r="AL263" s="311"/>
      <c r="AM263" s="311"/>
      <c r="AN263" s="412"/>
      <c r="AO263" s="412"/>
      <c r="AP263" s="311"/>
      <c r="AQ263" s="311"/>
      <c r="AR263" s="311"/>
      <c r="AS263" s="311"/>
      <c r="AT263" s="311"/>
      <c r="AU263" s="311"/>
      <c r="AV263" s="311"/>
      <c r="AW263" s="311"/>
      <c r="AX263" s="311"/>
      <c r="AY263" s="311"/>
      <c r="AZ263" s="311"/>
      <c r="BA263" s="311"/>
      <c r="BB263" s="311"/>
      <c r="BC263" s="311"/>
      <c r="BD263" s="311"/>
      <c r="BE263" s="311"/>
      <c r="BF263" s="311"/>
      <c r="BG263" s="311"/>
      <c r="BH263" s="311"/>
    </row>
    <row r="264" spans="2:60" ht="13.5" thickBot="1" x14ac:dyDescent="0.25">
      <c r="B264" s="386"/>
      <c r="C264" s="387" t="s">
        <v>224</v>
      </c>
      <c r="D264" s="388"/>
      <c r="E264" s="408">
        <v>1000</v>
      </c>
      <c r="F264" s="410" t="s">
        <v>226</v>
      </c>
      <c r="G264" s="312"/>
      <c r="H264" s="312"/>
      <c r="I264" s="312"/>
      <c r="J264" s="312"/>
      <c r="K264" s="312"/>
      <c r="L264" s="312"/>
      <c r="M264" s="405"/>
      <c r="N264" s="311"/>
      <c r="O264" s="311"/>
      <c r="P264" s="395"/>
      <c r="Q264" s="395"/>
      <c r="R264" s="312"/>
      <c r="S264" s="312"/>
      <c r="T264" s="312"/>
      <c r="U264" s="311"/>
      <c r="V264" s="311"/>
      <c r="W264" s="311"/>
      <c r="X264" s="311"/>
      <c r="Y264" s="311"/>
      <c r="Z264" s="311"/>
      <c r="AA264" s="311"/>
      <c r="AB264" s="311"/>
      <c r="AC264" s="311"/>
      <c r="AD264" s="311"/>
      <c r="AE264" s="311"/>
      <c r="AF264" s="311"/>
      <c r="AG264" s="311"/>
      <c r="AH264" s="311"/>
      <c r="AI264" s="311"/>
      <c r="AJ264" s="311"/>
      <c r="AK264" s="311"/>
      <c r="AL264" s="312"/>
      <c r="AM264" s="311"/>
      <c r="AN264" s="311"/>
      <c r="AO264" s="311"/>
      <c r="AP264" s="311"/>
      <c r="AQ264" s="311"/>
      <c r="AR264" s="311"/>
      <c r="AS264" s="311"/>
      <c r="AT264" s="311"/>
      <c r="AU264" s="311"/>
      <c r="AV264" s="311"/>
      <c r="AW264" s="311"/>
      <c r="AX264" s="311"/>
      <c r="AY264" s="311"/>
      <c r="AZ264" s="311"/>
      <c r="BA264" s="311"/>
      <c r="BB264" s="311"/>
      <c r="BC264" s="311"/>
      <c r="BD264" s="311"/>
      <c r="BE264" s="311"/>
      <c r="BF264" s="311"/>
      <c r="BG264" s="311"/>
      <c r="BH264" s="311"/>
    </row>
    <row r="265" spans="2:60" ht="3" customHeight="1" thickBot="1" x14ac:dyDescent="0.25">
      <c r="B265" s="413"/>
      <c r="C265" s="414"/>
      <c r="D265" s="414"/>
      <c r="E265" s="414"/>
      <c r="F265" s="414"/>
      <c r="G265" s="414"/>
      <c r="H265" s="414"/>
      <c r="I265" s="414"/>
      <c r="J265" s="414"/>
      <c r="K265" s="414"/>
      <c r="L265" s="414"/>
      <c r="M265" s="415"/>
      <c r="N265" s="311"/>
      <c r="O265" s="311"/>
      <c r="P265" s="395"/>
      <c r="Q265" s="395"/>
      <c r="R265" s="311"/>
      <c r="S265" s="311"/>
      <c r="T265" s="311"/>
      <c r="U265" s="311"/>
      <c r="V265" s="412"/>
      <c r="W265" s="412"/>
      <c r="X265" s="311"/>
      <c r="Y265" s="311"/>
      <c r="Z265" s="311"/>
      <c r="AA265" s="311"/>
      <c r="AB265" s="311"/>
      <c r="AC265" s="311"/>
      <c r="AD265" s="311"/>
      <c r="AE265" s="311"/>
      <c r="AF265" s="311"/>
      <c r="AG265" s="311"/>
      <c r="AH265" s="311"/>
      <c r="AI265" s="311"/>
      <c r="AJ265" s="311"/>
      <c r="AK265" s="311"/>
      <c r="AL265" s="311"/>
      <c r="AM265" s="311"/>
      <c r="AN265" s="412"/>
      <c r="AO265" s="412"/>
      <c r="AP265" s="311"/>
      <c r="AQ265" s="311"/>
      <c r="AR265" s="311"/>
      <c r="AS265" s="311"/>
      <c r="AT265" s="311"/>
      <c r="AU265" s="311"/>
      <c r="AV265" s="311"/>
      <c r="AW265" s="311"/>
      <c r="AX265" s="311"/>
      <c r="AY265" s="311"/>
      <c r="AZ265" s="311"/>
      <c r="BA265" s="311"/>
      <c r="BB265" s="311"/>
      <c r="BC265" s="311"/>
      <c r="BD265" s="311"/>
      <c r="BE265" s="311"/>
      <c r="BF265" s="311"/>
      <c r="BG265" s="311"/>
      <c r="BH265" s="311"/>
    </row>
    <row r="266" spans="2:60" ht="3" customHeight="1" x14ac:dyDescent="0.2">
      <c r="B266" s="311"/>
      <c r="C266" s="311"/>
      <c r="D266" s="311"/>
      <c r="E266" s="311"/>
      <c r="F266" s="312"/>
      <c r="G266" s="312"/>
      <c r="H266" s="312"/>
      <c r="I266" s="311"/>
      <c r="J266" s="311"/>
      <c r="K266" s="311"/>
      <c r="L266" s="311"/>
      <c r="M266" s="311"/>
      <c r="N266" s="311"/>
      <c r="O266" s="311"/>
      <c r="P266" s="395"/>
      <c r="Q266" s="395"/>
      <c r="R266" s="311"/>
      <c r="S266" s="311"/>
      <c r="T266" s="311"/>
      <c r="U266" s="311"/>
      <c r="V266" s="412"/>
      <c r="W266" s="412"/>
      <c r="X266" s="311"/>
      <c r="Y266" s="311"/>
      <c r="Z266" s="311"/>
      <c r="AA266" s="311"/>
      <c r="AB266" s="311"/>
      <c r="AC266" s="311"/>
      <c r="AD266" s="311"/>
      <c r="AE266" s="311"/>
      <c r="AF266" s="311"/>
      <c r="AG266" s="311"/>
      <c r="AH266" s="311"/>
      <c r="AI266" s="311"/>
      <c r="AJ266" s="311"/>
      <c r="AK266" s="311"/>
      <c r="AL266" s="311"/>
      <c r="AM266" s="311"/>
      <c r="AN266" s="412"/>
      <c r="AO266" s="412"/>
      <c r="AP266" s="311"/>
      <c r="AQ266" s="311"/>
      <c r="AR266" s="311"/>
      <c r="AS266" s="311"/>
      <c r="AT266" s="311"/>
      <c r="AU266" s="311"/>
      <c r="AV266" s="311"/>
      <c r="AW266" s="311"/>
      <c r="AX266" s="311"/>
      <c r="AY266" s="311"/>
      <c r="AZ266" s="311"/>
      <c r="BA266" s="311"/>
      <c r="BB266" s="311"/>
      <c r="BC266" s="311"/>
      <c r="BD266" s="311"/>
      <c r="BE266" s="311"/>
      <c r="BF266" s="311"/>
      <c r="BG266" s="311"/>
      <c r="BH266" s="311"/>
    </row>
    <row r="267" spans="2:60" x14ac:dyDescent="0.2">
      <c r="B267" s="311"/>
      <c r="C267" s="311"/>
      <c r="D267" s="311"/>
      <c r="E267" s="311"/>
      <c r="F267" s="312"/>
      <c r="G267" s="312"/>
      <c r="H267" s="312"/>
      <c r="I267" s="311"/>
      <c r="J267" s="311"/>
      <c r="K267" s="311"/>
      <c r="L267" s="311"/>
      <c r="M267" s="311"/>
      <c r="N267" s="311"/>
      <c r="O267" s="311"/>
      <c r="P267" s="395"/>
      <c r="Q267" s="395"/>
      <c r="R267" s="311"/>
      <c r="S267" s="311"/>
      <c r="T267" s="311"/>
      <c r="U267" s="311"/>
      <c r="V267" s="311"/>
      <c r="W267" s="416"/>
      <c r="X267" s="311"/>
      <c r="Y267" s="417"/>
      <c r="Z267" s="417"/>
      <c r="AA267" s="417"/>
      <c r="AB267" s="417"/>
      <c r="AC267" s="417"/>
      <c r="AD267" s="417"/>
      <c r="AE267" s="417"/>
      <c r="AF267" s="417"/>
      <c r="AG267" s="417"/>
      <c r="AH267" s="417"/>
      <c r="AI267" s="311"/>
      <c r="AJ267" s="311"/>
      <c r="AK267" s="311"/>
      <c r="AL267" s="311"/>
      <c r="AM267" s="311"/>
      <c r="AN267" s="311"/>
      <c r="AO267" s="416"/>
      <c r="AP267" s="311"/>
      <c r="AQ267" s="311"/>
      <c r="AR267" s="311"/>
      <c r="AS267" s="311"/>
      <c r="AT267" s="311"/>
      <c r="AU267" s="311"/>
      <c r="AV267" s="311"/>
      <c r="AW267" s="311"/>
      <c r="AX267" s="311"/>
      <c r="AY267" s="311"/>
      <c r="AZ267" s="311"/>
      <c r="BA267" s="311"/>
      <c r="BB267" s="311"/>
      <c r="BC267" s="311"/>
      <c r="BD267" s="311"/>
      <c r="BE267" s="311"/>
      <c r="BF267" s="311"/>
      <c r="BG267" s="311"/>
      <c r="BH267" s="311"/>
    </row>
    <row r="268" spans="2:60" ht="3" customHeight="1" thickBot="1" x14ac:dyDescent="0.25">
      <c r="B268" s="312"/>
      <c r="C268" s="418"/>
      <c r="D268" s="311"/>
      <c r="E268" s="311"/>
      <c r="F268" s="312"/>
      <c r="G268" s="312"/>
      <c r="H268" s="312"/>
      <c r="I268" s="311"/>
      <c r="J268" s="311"/>
      <c r="K268" s="311"/>
      <c r="L268" s="311"/>
      <c r="M268" s="311"/>
      <c r="N268" s="311"/>
      <c r="O268" s="311"/>
      <c r="P268" s="395"/>
      <c r="Q268" s="311"/>
      <c r="R268" s="311"/>
      <c r="S268" s="311"/>
      <c r="T268" s="311"/>
      <c r="U268" s="311"/>
      <c r="V268" s="311"/>
      <c r="W268" s="311"/>
      <c r="X268" s="311"/>
      <c r="Y268" s="311"/>
      <c r="Z268" s="311"/>
      <c r="AA268" s="311"/>
      <c r="AB268" s="311"/>
      <c r="AC268" s="311"/>
      <c r="AD268" s="311"/>
      <c r="AE268" s="311"/>
      <c r="AF268" s="311"/>
      <c r="AG268" s="311"/>
      <c r="AH268" s="311"/>
      <c r="AI268" s="311"/>
      <c r="AJ268" s="311"/>
      <c r="AK268" s="311"/>
      <c r="AL268" s="311"/>
      <c r="AM268" s="311"/>
      <c r="AN268" s="311"/>
      <c r="AO268" s="311"/>
      <c r="AP268" s="311"/>
      <c r="AQ268" s="311"/>
      <c r="AR268" s="311"/>
      <c r="AS268" s="311"/>
      <c r="AT268" s="311"/>
      <c r="AU268" s="311"/>
      <c r="AV268" s="311"/>
      <c r="AW268" s="311"/>
      <c r="AX268" s="311"/>
      <c r="AY268" s="311"/>
      <c r="AZ268" s="311"/>
      <c r="BA268" s="311"/>
      <c r="BB268" s="311"/>
      <c r="BC268" s="311"/>
      <c r="BD268" s="311"/>
      <c r="BE268" s="311"/>
      <c r="BF268" s="311"/>
      <c r="BG268" s="311"/>
      <c r="BH268" s="311"/>
    </row>
    <row r="269" spans="2:60" ht="45" customHeight="1" x14ac:dyDescent="0.2">
      <c r="B269" s="419"/>
      <c r="C269" s="420" t="s">
        <v>227</v>
      </c>
      <c r="D269" s="421"/>
      <c r="E269" s="422" t="s">
        <v>228</v>
      </c>
      <c r="F269" s="422" t="s">
        <v>229</v>
      </c>
      <c r="G269" s="423"/>
      <c r="H269" s="424" t="s">
        <v>230</v>
      </c>
      <c r="I269" s="459" t="s">
        <v>231</v>
      </c>
      <c r="J269" s="460"/>
      <c r="K269" s="422" t="s">
        <v>232</v>
      </c>
      <c r="L269" s="423"/>
      <c r="M269" s="425"/>
      <c r="N269" s="311"/>
      <c r="O269" s="311"/>
      <c r="P269" s="395"/>
      <c r="Q269" s="311"/>
      <c r="R269" s="311"/>
      <c r="S269" s="311"/>
      <c r="T269" s="311"/>
      <c r="U269" s="311"/>
      <c r="V269" s="311"/>
      <c r="W269" s="416"/>
      <c r="X269" s="311"/>
      <c r="Y269" s="417"/>
      <c r="Z269" s="417"/>
      <c r="AA269" s="417"/>
      <c r="AB269" s="417"/>
      <c r="AC269" s="417"/>
      <c r="AD269" s="417"/>
      <c r="AE269" s="417"/>
      <c r="AF269" s="417"/>
      <c r="AG269" s="417"/>
      <c r="AH269" s="417"/>
      <c r="AI269" s="311"/>
      <c r="AJ269" s="311"/>
      <c r="AK269" s="311"/>
      <c r="AL269" s="311"/>
      <c r="AM269" s="311"/>
      <c r="AN269" s="311"/>
      <c r="AO269" s="416"/>
      <c r="AP269" s="311"/>
      <c r="AQ269" s="311"/>
      <c r="AR269" s="311"/>
      <c r="AS269" s="311"/>
      <c r="AT269" s="311"/>
      <c r="AU269" s="311"/>
      <c r="AV269" s="311"/>
      <c r="AW269" s="311"/>
      <c r="AX269" s="311"/>
      <c r="AY269" s="311"/>
      <c r="AZ269" s="311"/>
      <c r="BA269" s="311"/>
      <c r="BB269" s="311"/>
      <c r="BC269" s="311"/>
      <c r="BD269" s="311"/>
      <c r="BE269" s="311"/>
      <c r="BF269" s="311"/>
      <c r="BG269" s="311"/>
      <c r="BH269" s="311"/>
    </row>
    <row r="270" spans="2:60" x14ac:dyDescent="0.2">
      <c r="B270" s="426" t="s">
        <v>53</v>
      </c>
      <c r="C270" s="427">
        <f>COUNTA(AI11:AP11)</f>
        <v>2</v>
      </c>
      <c r="D270" s="428"/>
      <c r="E270" s="429">
        <f>SUM(AI187:AP187)</f>
        <v>47981</v>
      </c>
      <c r="F270" s="430">
        <f>E270/K270</f>
        <v>1.037132111163803</v>
      </c>
      <c r="G270" s="312"/>
      <c r="H270" s="431">
        <f>SUM(N217:X217)+SUM(AI217:AP217)</f>
        <v>57850</v>
      </c>
      <c r="I270" s="448">
        <f>SUM(N7:X7)/C270</f>
        <v>21023</v>
      </c>
      <c r="J270" s="449">
        <f>SUM(K26:BE26)/I270</f>
        <v>0.23769205156257434</v>
      </c>
      <c r="K270" s="430">
        <f>(SUM(AI7:AP7))*24/22</f>
        <v>46263.151515151534</v>
      </c>
      <c r="L270" s="312"/>
      <c r="M270" s="405"/>
      <c r="N270" s="311"/>
      <c r="O270" s="311"/>
      <c r="P270" s="311"/>
      <c r="Q270" s="311"/>
      <c r="R270" s="311"/>
      <c r="S270" s="311"/>
      <c r="T270" s="311"/>
      <c r="U270" s="311"/>
      <c r="V270" s="311"/>
      <c r="W270" s="311"/>
      <c r="X270" s="311"/>
      <c r="Y270" s="311"/>
      <c r="Z270" s="311"/>
      <c r="AA270" s="311"/>
      <c r="AB270" s="311"/>
      <c r="AC270" s="311"/>
      <c r="AD270" s="311"/>
      <c r="AE270" s="311"/>
      <c r="AF270" s="311"/>
      <c r="AG270" s="311"/>
      <c r="AH270" s="311"/>
      <c r="AI270" s="311"/>
      <c r="AJ270" s="311"/>
      <c r="AK270" s="311"/>
      <c r="AL270" s="311"/>
      <c r="AM270" s="311"/>
      <c r="AN270" s="311"/>
      <c r="AO270" s="311"/>
      <c r="AP270" s="311"/>
      <c r="AQ270" s="311"/>
      <c r="AR270" s="311"/>
      <c r="AS270" s="311"/>
      <c r="AT270" s="311"/>
      <c r="AU270" s="311"/>
      <c r="AV270" s="311"/>
      <c r="AW270" s="311"/>
      <c r="AX270" s="311"/>
      <c r="AY270" s="311"/>
      <c r="AZ270" s="311"/>
      <c r="BA270" s="311"/>
      <c r="BB270" s="311"/>
      <c r="BC270" s="311"/>
      <c r="BD270" s="311"/>
      <c r="BE270" s="311"/>
      <c r="BF270" s="311"/>
      <c r="BG270" s="311"/>
      <c r="BH270" s="311"/>
    </row>
    <row r="271" spans="2:60" x14ac:dyDescent="0.2">
      <c r="B271" s="426" t="s">
        <v>233</v>
      </c>
      <c r="C271" s="427">
        <f>COUNTA(N11:X11)</f>
        <v>11</v>
      </c>
      <c r="D271" s="428"/>
      <c r="E271" s="429">
        <f>SUM(N187:X187)</f>
        <v>81848</v>
      </c>
      <c r="F271" s="428">
        <f>E271/K271</f>
        <v>1.7844107247617687</v>
      </c>
      <c r="G271" s="312"/>
      <c r="H271" s="431">
        <f>SUM(N217:X217)</f>
        <v>34520</v>
      </c>
      <c r="I271" s="448">
        <f>SUM(N7:X7)/C271</f>
        <v>3822.3636363636365</v>
      </c>
      <c r="J271" s="461">
        <f>SUM(K27:BE27)/I271</f>
        <v>1.1741426057175475</v>
      </c>
      <c r="K271" s="432">
        <f>(SUM(N7:X7))*24/22</f>
        <v>45868.36363636364</v>
      </c>
      <c r="L271" s="312"/>
      <c r="M271" s="405"/>
      <c r="N271" s="311"/>
      <c r="O271" s="311"/>
      <c r="P271" s="311"/>
      <c r="Q271" s="311"/>
      <c r="R271" s="311"/>
      <c r="S271" s="311"/>
      <c r="T271" s="311"/>
      <c r="U271" s="311"/>
      <c r="V271" s="311"/>
      <c r="W271" s="311"/>
      <c r="X271" s="311"/>
      <c r="Y271" s="311"/>
      <c r="Z271" s="311"/>
      <c r="AA271" s="311"/>
      <c r="AB271" s="311"/>
      <c r="AC271" s="311"/>
      <c r="AD271" s="311"/>
      <c r="AE271" s="311"/>
      <c r="AF271" s="311"/>
      <c r="AG271" s="311"/>
      <c r="AH271" s="311"/>
      <c r="AI271" s="311"/>
      <c r="AJ271" s="311"/>
      <c r="AK271" s="311"/>
      <c r="AL271" s="311"/>
      <c r="AM271" s="311"/>
      <c r="AN271" s="311"/>
      <c r="AO271" s="311"/>
      <c r="AP271" s="311"/>
      <c r="AQ271" s="311"/>
      <c r="AR271" s="311"/>
      <c r="AS271" s="311"/>
      <c r="AT271" s="311"/>
      <c r="AU271" s="311"/>
      <c r="AV271" s="311"/>
      <c r="AW271" s="311"/>
      <c r="AX271" s="311"/>
      <c r="AY271" s="311"/>
      <c r="AZ271" s="311"/>
      <c r="BA271" s="311"/>
      <c r="BB271" s="311"/>
      <c r="BC271" s="311"/>
      <c r="BD271" s="311"/>
      <c r="BE271" s="311"/>
      <c r="BF271" s="311"/>
      <c r="BG271" s="311"/>
      <c r="BH271" s="311"/>
    </row>
    <row r="272" spans="2:60" x14ac:dyDescent="0.2">
      <c r="B272" s="433" t="s">
        <v>54</v>
      </c>
      <c r="C272" s="427">
        <f>COUNTA(AQ11:BH11)</f>
        <v>0</v>
      </c>
      <c r="D272" s="428"/>
      <c r="E272" s="429">
        <f>SUM(AQ187:BH187)</f>
        <v>126244</v>
      </c>
      <c r="F272" s="428">
        <f>E272/K272</f>
        <v>8296.8424197147633</v>
      </c>
      <c r="G272" s="312"/>
      <c r="H272" s="431">
        <f>SUM(AQ217:BH217)</f>
        <v>51230</v>
      </c>
      <c r="I272" s="448" t="e">
        <f>SUM(AQ7:BH7)/C272</f>
        <v>#DIV/0!</v>
      </c>
      <c r="J272" s="449" t="e">
        <f>SUM(K28:BE28)/I272</f>
        <v>#DIV/0!</v>
      </c>
      <c r="K272" s="430">
        <f>SUM(AQ7:BH7)*24/22</f>
        <v>15.215909090911737</v>
      </c>
      <c r="L272" s="312"/>
      <c r="M272" s="405"/>
      <c r="N272" s="311"/>
      <c r="O272" s="311"/>
      <c r="P272" s="311"/>
      <c r="Q272" s="311"/>
      <c r="R272" s="311"/>
      <c r="S272" s="311"/>
      <c r="T272" s="311"/>
      <c r="U272" s="311"/>
      <c r="V272" s="311"/>
      <c r="W272" s="311"/>
      <c r="X272" s="311"/>
      <c r="Y272" s="311"/>
      <c r="Z272" s="311"/>
      <c r="AA272" s="311"/>
      <c r="AB272" s="311"/>
      <c r="AC272" s="311"/>
      <c r="AD272" s="311"/>
      <c r="AE272" s="311"/>
      <c r="AF272" s="311"/>
      <c r="AG272" s="311"/>
      <c r="AH272" s="311"/>
      <c r="AI272" s="311"/>
      <c r="AJ272" s="311"/>
      <c r="AK272" s="311"/>
      <c r="AL272" s="311"/>
      <c r="AM272" s="311"/>
      <c r="AN272" s="311"/>
      <c r="AO272" s="311"/>
      <c r="AP272" s="311"/>
      <c r="AQ272" s="311"/>
      <c r="AR272" s="311"/>
      <c r="AS272" s="311"/>
      <c r="AT272" s="311"/>
      <c r="AU272" s="311"/>
      <c r="AV272" s="311"/>
      <c r="AW272" s="311"/>
      <c r="AX272" s="311"/>
      <c r="AY272" s="311"/>
      <c r="AZ272" s="311"/>
      <c r="BA272" s="311"/>
      <c r="BB272" s="311"/>
      <c r="BC272" s="311"/>
      <c r="BD272" s="311"/>
      <c r="BE272" s="311"/>
      <c r="BF272" s="311"/>
      <c r="BG272" s="311"/>
      <c r="BH272" s="311"/>
    </row>
    <row r="273" spans="2:60" x14ac:dyDescent="0.2">
      <c r="B273" s="433" t="s">
        <v>52</v>
      </c>
      <c r="C273" s="427">
        <f>COUNTA(Y11:AH11)</f>
        <v>10</v>
      </c>
      <c r="D273" s="428"/>
      <c r="E273" s="429">
        <f>SUM(Y187:AH187)</f>
        <v>83313</v>
      </c>
      <c r="F273" s="428">
        <f>E273/K273</f>
        <v>8398.1030927700667</v>
      </c>
      <c r="G273" s="312"/>
      <c r="H273" s="431">
        <f>SUM(Y217:AH217)</f>
        <v>35490</v>
      </c>
      <c r="I273" s="448">
        <f>SUM(Y7:AH7)/C273</f>
        <v>0.90937500000145521</v>
      </c>
      <c r="J273" s="449">
        <f>SUM(K29:BE29)/I273</f>
        <v>1686.8728522309775</v>
      </c>
      <c r="K273" s="430">
        <f>SUM(Y7:AH7)*24/22</f>
        <v>9.9204545454704203</v>
      </c>
      <c r="L273" s="312"/>
      <c r="M273" s="405"/>
      <c r="N273" s="311"/>
      <c r="O273" s="311"/>
      <c r="P273" s="311"/>
      <c r="Q273" s="311"/>
      <c r="R273" s="311"/>
      <c r="S273" s="311"/>
      <c r="T273" s="311"/>
      <c r="U273" s="311"/>
      <c r="V273" s="311"/>
      <c r="W273" s="311"/>
      <c r="X273" s="311"/>
      <c r="Y273" s="311"/>
      <c r="Z273" s="311"/>
      <c r="AA273" s="311"/>
      <c r="AB273" s="311"/>
      <c r="AC273" s="311"/>
      <c r="AD273" s="311"/>
      <c r="AE273" s="311"/>
      <c r="AF273" s="311"/>
      <c r="AG273" s="311"/>
      <c r="AH273" s="311"/>
      <c r="AI273" s="311"/>
      <c r="AJ273" s="311"/>
      <c r="AK273" s="311"/>
      <c r="AL273" s="311"/>
      <c r="AM273" s="311"/>
      <c r="AN273" s="311"/>
      <c r="AO273" s="311"/>
      <c r="AP273" s="311"/>
      <c r="AQ273" s="311"/>
      <c r="AR273" s="311"/>
      <c r="AS273" s="311"/>
      <c r="AT273" s="311"/>
      <c r="AU273" s="311"/>
      <c r="AV273" s="311"/>
      <c r="AW273" s="311"/>
      <c r="AX273" s="311"/>
      <c r="AY273" s="311"/>
      <c r="AZ273" s="311"/>
      <c r="BA273" s="311"/>
      <c r="BB273" s="311"/>
      <c r="BC273" s="311"/>
      <c r="BD273" s="311"/>
      <c r="BE273" s="311"/>
      <c r="BF273" s="311"/>
      <c r="BG273" s="311"/>
      <c r="BH273" s="311"/>
    </row>
    <row r="274" spans="2:60" ht="15.75" customHeight="1" thickBot="1" x14ac:dyDescent="0.25">
      <c r="B274" s="434" t="s">
        <v>234</v>
      </c>
      <c r="C274" s="435">
        <f>SUM(C270:C273)</f>
        <v>23</v>
      </c>
      <c r="D274" s="435">
        <f>SUM(D270:D272)</f>
        <v>0</v>
      </c>
      <c r="E274" s="435">
        <f>SUM(E270:E273)</f>
        <v>339386</v>
      </c>
      <c r="F274" s="414"/>
      <c r="G274" s="414"/>
      <c r="H274" s="435">
        <f>SUM(H270:H273)</f>
        <v>179090</v>
      </c>
      <c r="I274" s="450">
        <f>SUM(N7:BH7)/L274</f>
        <v>3672.9100241545907</v>
      </c>
      <c r="J274" s="451"/>
      <c r="K274" s="414"/>
      <c r="L274" s="414">
        <f>COUNTA(N11:BI11)</f>
        <v>23</v>
      </c>
      <c r="M274" s="415"/>
      <c r="N274" s="311"/>
      <c r="O274" s="311"/>
      <c r="P274" s="311"/>
      <c r="Q274" s="311"/>
      <c r="R274" s="311"/>
      <c r="S274" s="311"/>
      <c r="T274" s="311"/>
      <c r="U274" s="311"/>
      <c r="V274" s="311"/>
      <c r="W274" s="311"/>
      <c r="X274" s="311"/>
      <c r="Y274" s="311"/>
      <c r="Z274" s="311"/>
      <c r="AA274" s="311"/>
      <c r="AB274" s="311"/>
      <c r="AC274" s="311"/>
      <c r="AD274" s="311"/>
      <c r="AE274" s="311"/>
      <c r="AF274" s="311"/>
      <c r="AG274" s="311"/>
      <c r="AH274" s="311"/>
      <c r="AI274" s="311"/>
      <c r="AJ274" s="311"/>
      <c r="AK274" s="311"/>
      <c r="AL274" s="311"/>
      <c r="AM274" s="311"/>
      <c r="AN274" s="311"/>
      <c r="AO274" s="311"/>
      <c r="AP274" s="311"/>
      <c r="AQ274" s="311"/>
      <c r="AR274" s="311"/>
      <c r="AS274" s="311"/>
      <c r="AT274" s="311"/>
      <c r="AU274" s="311"/>
      <c r="AV274" s="311"/>
      <c r="AW274" s="311"/>
      <c r="AX274" s="311"/>
      <c r="AY274" s="311"/>
      <c r="AZ274" s="311"/>
      <c r="BA274" s="311"/>
      <c r="BB274" s="311"/>
      <c r="BC274" s="311"/>
      <c r="BD274" s="311"/>
      <c r="BE274" s="311"/>
      <c r="BF274" s="311"/>
      <c r="BG274" s="311"/>
      <c r="BH274" s="311"/>
    </row>
    <row r="275" spans="2:60" ht="3" customHeight="1" thickBot="1" x14ac:dyDescent="0.25">
      <c r="B275" s="312"/>
      <c r="C275" s="418"/>
      <c r="D275" s="311"/>
      <c r="E275" s="311"/>
      <c r="F275" s="312"/>
      <c r="G275" s="312"/>
      <c r="H275" s="312"/>
      <c r="I275" s="311"/>
      <c r="J275" s="311"/>
      <c r="K275" s="311"/>
      <c r="L275" s="311"/>
      <c r="M275" s="311"/>
      <c r="N275" s="311"/>
      <c r="O275" s="311"/>
      <c r="P275" s="311"/>
      <c r="Q275" s="311"/>
      <c r="R275" s="311"/>
      <c r="S275" s="311"/>
      <c r="T275" s="311"/>
      <c r="U275" s="311"/>
      <c r="V275" s="311"/>
      <c r="W275" s="311"/>
      <c r="X275" s="311"/>
      <c r="Y275" s="311"/>
      <c r="Z275" s="311"/>
      <c r="AA275" s="311"/>
      <c r="AB275" s="311"/>
      <c r="AC275" s="311"/>
      <c r="AD275" s="311"/>
      <c r="AE275" s="311"/>
      <c r="AF275" s="311"/>
      <c r="AG275" s="311"/>
      <c r="AH275" s="311"/>
      <c r="AI275" s="311"/>
      <c r="AJ275" s="311"/>
      <c r="AK275" s="311"/>
      <c r="AL275" s="311"/>
      <c r="AM275" s="311"/>
      <c r="AN275" s="311"/>
      <c r="AO275" s="311"/>
      <c r="AP275" s="311"/>
      <c r="AQ275" s="311"/>
      <c r="AR275" s="311"/>
      <c r="AS275" s="311"/>
      <c r="AT275" s="311"/>
      <c r="AU275" s="311"/>
      <c r="AV275" s="311"/>
      <c r="AW275" s="311"/>
      <c r="AX275" s="311"/>
      <c r="AY275" s="311"/>
      <c r="AZ275" s="311"/>
      <c r="BA275" s="311"/>
      <c r="BB275" s="311"/>
      <c r="BC275" s="311"/>
      <c r="BD275" s="311"/>
      <c r="BE275" s="311"/>
      <c r="BF275" s="311"/>
      <c r="BG275" s="311"/>
      <c r="BH275" s="311"/>
    </row>
    <row r="276" spans="2:60" ht="15.75" customHeight="1" x14ac:dyDescent="0.25">
      <c r="B276" s="452" t="s">
        <v>235</v>
      </c>
      <c r="C276" s="453"/>
      <c r="D276" s="453"/>
      <c r="E276" s="453"/>
      <c r="F276" s="453"/>
      <c r="G276" s="453"/>
      <c r="H276" s="453"/>
      <c r="I276" s="453"/>
      <c r="J276" s="453"/>
      <c r="K276" s="453"/>
      <c r="L276" s="453"/>
      <c r="M276" s="454"/>
      <c r="N276" s="311"/>
      <c r="O276" s="311"/>
      <c r="P276" s="311"/>
      <c r="Q276" s="311"/>
      <c r="R276" s="311"/>
      <c r="S276" s="311"/>
      <c r="T276" s="311"/>
      <c r="U276" s="311"/>
      <c r="V276" s="311"/>
      <c r="W276" s="311"/>
      <c r="X276" s="311"/>
      <c r="Y276" s="311"/>
      <c r="Z276" s="311"/>
      <c r="AA276" s="311"/>
      <c r="AB276" s="311"/>
      <c r="AC276" s="311"/>
      <c r="AD276" s="311"/>
      <c r="AE276" s="311"/>
      <c r="AF276" s="311"/>
      <c r="AG276" s="311"/>
      <c r="AH276" s="311"/>
      <c r="AI276" s="311"/>
      <c r="AJ276" s="311"/>
      <c r="AK276" s="311"/>
      <c r="AL276" s="311"/>
      <c r="AM276" s="311"/>
      <c r="AN276" s="311"/>
      <c r="AO276" s="311"/>
      <c r="AP276" s="311"/>
      <c r="AQ276" s="311"/>
      <c r="AR276" s="311"/>
      <c r="AS276" s="311"/>
      <c r="AT276" s="311"/>
      <c r="AU276" s="311"/>
      <c r="AV276" s="311"/>
      <c r="AW276" s="311"/>
      <c r="AX276" s="311"/>
      <c r="AY276" s="311"/>
      <c r="AZ276" s="311"/>
      <c r="BA276" s="311"/>
      <c r="BB276" s="311"/>
      <c r="BC276" s="311"/>
      <c r="BD276" s="311"/>
      <c r="BE276" s="311"/>
      <c r="BF276" s="311"/>
      <c r="BG276" s="311"/>
      <c r="BH276" s="311"/>
    </row>
    <row r="277" spans="2:60" ht="15.75" customHeight="1" x14ac:dyDescent="0.25">
      <c r="B277" s="436" t="s">
        <v>236</v>
      </c>
      <c r="C277" s="437"/>
      <c r="D277" s="437"/>
      <c r="E277" s="437"/>
      <c r="F277" s="438"/>
      <c r="G277" s="438"/>
      <c r="H277" s="437"/>
      <c r="I277" s="437"/>
      <c r="J277" s="437"/>
      <c r="K277" s="437"/>
      <c r="L277" s="437"/>
      <c r="M277" s="439"/>
      <c r="N277" s="311"/>
      <c r="O277" s="311"/>
      <c r="P277" s="311"/>
      <c r="Q277" s="311"/>
      <c r="R277" s="311"/>
      <c r="S277" s="311"/>
      <c r="T277" s="311"/>
      <c r="U277" s="311"/>
      <c r="V277" s="311"/>
      <c r="W277" s="311"/>
      <c r="X277" s="311"/>
      <c r="Y277" s="311"/>
      <c r="Z277" s="311"/>
      <c r="AA277" s="311"/>
      <c r="AB277" s="311"/>
      <c r="AC277" s="311"/>
      <c r="AD277" s="311"/>
      <c r="AE277" s="311"/>
      <c r="AF277" s="311"/>
      <c r="AG277" s="311"/>
      <c r="AH277" s="311"/>
      <c r="AI277" s="311"/>
      <c r="AJ277" s="311"/>
      <c r="AK277" s="311"/>
      <c r="AL277" s="311"/>
      <c r="AM277" s="311"/>
      <c r="AN277" s="311"/>
      <c r="AO277" s="311"/>
      <c r="AP277" s="311"/>
      <c r="AQ277" s="311"/>
      <c r="AR277" s="311"/>
      <c r="AS277" s="311"/>
      <c r="AT277" s="311"/>
      <c r="AU277" s="311"/>
      <c r="AV277" s="311"/>
      <c r="AW277" s="311"/>
      <c r="AX277" s="311"/>
      <c r="AY277" s="311"/>
      <c r="AZ277" s="311"/>
      <c r="BA277" s="311"/>
      <c r="BB277" s="311"/>
      <c r="BC277" s="311"/>
      <c r="BD277" s="311"/>
      <c r="BE277" s="311"/>
      <c r="BF277" s="311"/>
      <c r="BG277" s="311"/>
      <c r="BH277" s="311"/>
    </row>
    <row r="278" spans="2:60" ht="15.75" customHeight="1" x14ac:dyDescent="0.25">
      <c r="B278" s="445" t="s">
        <v>237</v>
      </c>
      <c r="C278" s="446"/>
      <c r="D278" s="446"/>
      <c r="E278" s="446"/>
      <c r="F278" s="446"/>
      <c r="G278" s="446"/>
      <c r="H278" s="446"/>
      <c r="I278" s="446"/>
      <c r="J278" s="446"/>
      <c r="K278" s="446"/>
      <c r="L278" s="446"/>
      <c r="M278" s="447"/>
      <c r="N278" s="311"/>
      <c r="O278" s="311"/>
      <c r="P278" s="311"/>
      <c r="Q278" s="311"/>
      <c r="R278" s="311"/>
      <c r="S278" s="311"/>
      <c r="T278" s="311"/>
      <c r="U278" s="311"/>
      <c r="V278" s="311"/>
      <c r="W278" s="311"/>
      <c r="X278" s="311"/>
      <c r="Y278" s="311"/>
      <c r="Z278" s="311"/>
      <c r="AA278" s="311"/>
      <c r="AB278" s="311"/>
      <c r="AC278" s="311"/>
      <c r="AD278" s="311"/>
      <c r="AE278" s="311"/>
      <c r="AF278" s="311"/>
      <c r="AG278" s="311"/>
      <c r="AH278" s="311"/>
      <c r="AI278" s="311"/>
      <c r="AJ278" s="311"/>
      <c r="AK278" s="311"/>
      <c r="AL278" s="311"/>
      <c r="AM278" s="311"/>
      <c r="AN278" s="311"/>
      <c r="AO278" s="311"/>
      <c r="AP278" s="311"/>
      <c r="AQ278" s="311"/>
      <c r="AR278" s="311"/>
      <c r="AS278" s="311"/>
      <c r="AT278" s="311"/>
      <c r="AU278" s="311"/>
      <c r="AV278" s="311"/>
      <c r="AW278" s="311"/>
      <c r="AX278" s="311"/>
      <c r="AY278" s="311"/>
      <c r="AZ278" s="311"/>
      <c r="BA278" s="311"/>
      <c r="BB278" s="311"/>
      <c r="BC278" s="311"/>
      <c r="BD278" s="311"/>
      <c r="BE278" s="311"/>
      <c r="BF278" s="311"/>
      <c r="BG278" s="311"/>
      <c r="BH278" s="311"/>
    </row>
    <row r="279" spans="2:60" ht="36" customHeight="1" x14ac:dyDescent="0.25">
      <c r="B279" s="445" t="s">
        <v>238</v>
      </c>
      <c r="C279" s="446"/>
      <c r="D279" s="446"/>
      <c r="E279" s="446"/>
      <c r="F279" s="446"/>
      <c r="G279" s="446"/>
      <c r="H279" s="446"/>
      <c r="I279" s="446"/>
      <c r="J279" s="446"/>
      <c r="K279" s="446"/>
      <c r="L279" s="446"/>
      <c r="M279" s="447"/>
      <c r="N279" s="311"/>
      <c r="O279" s="311"/>
      <c r="P279" s="311"/>
      <c r="Q279" s="311"/>
      <c r="R279" s="311"/>
      <c r="S279" s="311"/>
      <c r="T279" s="311"/>
      <c r="U279" s="311"/>
      <c r="V279" s="311"/>
      <c r="W279" s="311"/>
      <c r="X279" s="311"/>
      <c r="Y279" s="311"/>
      <c r="Z279" s="311"/>
      <c r="AA279" s="311"/>
      <c r="AB279" s="311"/>
      <c r="AC279" s="311"/>
      <c r="AD279" s="311"/>
      <c r="AE279" s="311"/>
      <c r="AF279" s="311"/>
      <c r="AG279" s="311"/>
      <c r="AH279" s="311"/>
      <c r="AI279" s="311"/>
      <c r="AJ279" s="311"/>
      <c r="AK279" s="311"/>
      <c r="AL279" s="311"/>
      <c r="AM279" s="311"/>
      <c r="AN279" s="311"/>
      <c r="AO279" s="311"/>
      <c r="AP279" s="311"/>
      <c r="AQ279" s="311"/>
      <c r="AR279" s="311"/>
      <c r="AS279" s="311"/>
      <c r="AT279" s="311"/>
      <c r="AU279" s="311"/>
      <c r="AV279" s="311"/>
      <c r="AW279" s="311"/>
      <c r="AX279" s="311"/>
      <c r="AY279" s="311"/>
      <c r="AZ279" s="311"/>
      <c r="BA279" s="311"/>
      <c r="BB279" s="311"/>
      <c r="BC279" s="311"/>
      <c r="BD279" s="311"/>
      <c r="BE279" s="311"/>
      <c r="BF279" s="311"/>
      <c r="BG279" s="311"/>
      <c r="BH279" s="311"/>
    </row>
    <row r="280" spans="2:60" ht="15" customHeight="1" x14ac:dyDescent="0.25">
      <c r="B280" s="445" t="s">
        <v>239</v>
      </c>
      <c r="C280" s="446"/>
      <c r="D280" s="446"/>
      <c r="E280" s="446"/>
      <c r="F280" s="446"/>
      <c r="G280" s="446"/>
      <c r="H280" s="446"/>
      <c r="I280" s="446"/>
      <c r="J280" s="446"/>
      <c r="K280" s="446"/>
      <c r="L280" s="446"/>
      <c r="M280" s="447"/>
      <c r="N280" s="311"/>
      <c r="O280" s="311"/>
      <c r="P280" s="311"/>
      <c r="Q280" s="311"/>
      <c r="R280" s="311"/>
      <c r="S280" s="311"/>
      <c r="T280" s="311"/>
      <c r="U280" s="311"/>
      <c r="V280" s="311"/>
      <c r="W280" s="311"/>
      <c r="X280" s="311"/>
      <c r="Y280" s="311"/>
      <c r="Z280" s="311"/>
      <c r="AA280" s="311"/>
      <c r="AB280" s="311"/>
      <c r="AC280" s="311"/>
      <c r="AD280" s="311"/>
      <c r="AE280" s="311"/>
      <c r="AF280" s="311"/>
      <c r="AG280" s="311"/>
      <c r="AH280" s="311"/>
      <c r="AI280" s="311"/>
      <c r="AJ280" s="311"/>
      <c r="AK280" s="311"/>
      <c r="AL280" s="311"/>
      <c r="AM280" s="311"/>
      <c r="AN280" s="311"/>
      <c r="AO280" s="311"/>
      <c r="AP280" s="311"/>
      <c r="AQ280" s="311"/>
      <c r="AR280" s="311"/>
      <c r="AS280" s="311"/>
      <c r="AT280" s="311"/>
      <c r="AU280" s="311"/>
      <c r="AV280" s="311"/>
      <c r="AW280" s="311"/>
      <c r="AX280" s="311"/>
      <c r="AY280" s="311"/>
      <c r="AZ280" s="311"/>
      <c r="BA280" s="311"/>
      <c r="BB280" s="311"/>
      <c r="BC280" s="311"/>
      <c r="BD280" s="311"/>
      <c r="BE280" s="311"/>
      <c r="BF280" s="311"/>
      <c r="BG280" s="311"/>
      <c r="BH280" s="311"/>
    </row>
    <row r="281" spans="2:60" ht="15.75" x14ac:dyDescent="0.25">
      <c r="B281" s="445" t="s">
        <v>240</v>
      </c>
      <c r="C281" s="446"/>
      <c r="D281" s="446"/>
      <c r="E281" s="446"/>
      <c r="F281" s="446"/>
      <c r="G281" s="446"/>
      <c r="H281" s="446"/>
      <c r="I281" s="446"/>
      <c r="J281" s="446"/>
      <c r="K281" s="446"/>
      <c r="L281" s="446"/>
      <c r="M281" s="447"/>
      <c r="N281" s="311"/>
      <c r="O281" s="311"/>
      <c r="P281" s="311"/>
      <c r="Q281" s="311"/>
      <c r="R281" s="311"/>
      <c r="S281" s="311"/>
      <c r="T281" s="311"/>
      <c r="U281" s="311"/>
      <c r="V281" s="311"/>
      <c r="W281" s="311"/>
      <c r="X281" s="311"/>
      <c r="Y281" s="311"/>
      <c r="Z281" s="311"/>
      <c r="AA281" s="311"/>
      <c r="AB281" s="311"/>
      <c r="AC281" s="311"/>
      <c r="AD281" s="311"/>
      <c r="AE281" s="311"/>
      <c r="AF281" s="311"/>
      <c r="AG281" s="311"/>
      <c r="AH281" s="311"/>
      <c r="AI281" s="311"/>
      <c r="AJ281" s="311"/>
      <c r="AK281" s="311"/>
      <c r="AL281" s="311"/>
      <c r="AM281" s="311"/>
      <c r="AN281" s="311"/>
      <c r="AO281" s="311"/>
      <c r="AP281" s="311"/>
      <c r="AQ281" s="311"/>
      <c r="AR281" s="311"/>
      <c r="AS281" s="311"/>
      <c r="AT281" s="311"/>
      <c r="AU281" s="311"/>
      <c r="AV281" s="311"/>
      <c r="AW281" s="311"/>
      <c r="AX281" s="311"/>
      <c r="AY281" s="311"/>
      <c r="AZ281" s="311"/>
      <c r="BA281" s="311"/>
      <c r="BB281" s="311"/>
      <c r="BC281" s="311"/>
      <c r="BD281" s="311"/>
      <c r="BE281" s="311"/>
      <c r="BF281" s="311"/>
      <c r="BG281" s="311"/>
      <c r="BH281" s="311"/>
    </row>
    <row r="282" spans="2:60" ht="15.75" x14ac:dyDescent="0.25">
      <c r="B282" s="445" t="s">
        <v>241</v>
      </c>
      <c r="C282" s="446"/>
      <c r="D282" s="446"/>
      <c r="E282" s="446"/>
      <c r="F282" s="446"/>
      <c r="G282" s="446"/>
      <c r="H282" s="446"/>
      <c r="I282" s="446"/>
      <c r="J282" s="446"/>
      <c r="K282" s="446"/>
      <c r="L282" s="446"/>
      <c r="M282" s="447"/>
      <c r="N282" s="311"/>
      <c r="O282" s="311"/>
      <c r="P282" s="311"/>
      <c r="Q282" s="311"/>
      <c r="R282" s="311"/>
      <c r="S282" s="311"/>
      <c r="T282" s="311"/>
      <c r="U282" s="311"/>
      <c r="V282" s="311"/>
      <c r="W282" s="311"/>
      <c r="X282" s="311"/>
      <c r="Y282" s="311"/>
      <c r="Z282" s="311"/>
      <c r="AA282" s="311"/>
      <c r="AB282" s="311"/>
      <c r="AC282" s="311"/>
      <c r="AD282" s="311"/>
      <c r="AE282" s="311"/>
      <c r="AF282" s="311"/>
      <c r="AG282" s="311"/>
      <c r="AH282" s="311"/>
      <c r="AI282" s="311"/>
      <c r="AJ282" s="311"/>
      <c r="AK282" s="311"/>
      <c r="AL282" s="311"/>
      <c r="AM282" s="311"/>
      <c r="AN282" s="311"/>
      <c r="AO282" s="311"/>
      <c r="AP282" s="311"/>
      <c r="AQ282" s="311"/>
      <c r="AR282" s="311"/>
      <c r="AS282" s="311"/>
      <c r="AT282" s="311"/>
      <c r="AU282" s="311"/>
      <c r="AV282" s="311"/>
      <c r="AW282" s="311"/>
      <c r="AX282" s="311"/>
      <c r="AY282" s="311"/>
      <c r="AZ282" s="311"/>
      <c r="BA282" s="311"/>
      <c r="BB282" s="311"/>
      <c r="BC282" s="311"/>
      <c r="BD282" s="311"/>
      <c r="BE282" s="311"/>
      <c r="BF282" s="311"/>
      <c r="BG282" s="311"/>
      <c r="BH282" s="311"/>
    </row>
    <row r="283" spans="2:60" ht="13.5" thickBot="1" x14ac:dyDescent="0.25">
      <c r="B283" s="413"/>
      <c r="C283" s="414"/>
      <c r="D283" s="414"/>
      <c r="E283" s="414"/>
      <c r="F283" s="440"/>
      <c r="G283" s="440"/>
      <c r="H283" s="414"/>
      <c r="I283" s="414"/>
      <c r="J283" s="414"/>
      <c r="K283" s="414"/>
      <c r="L283" s="414"/>
      <c r="M283" s="415"/>
      <c r="N283" s="311"/>
      <c r="O283" s="311"/>
      <c r="P283" s="311"/>
      <c r="Q283" s="311"/>
      <c r="R283" s="311"/>
      <c r="S283" s="311"/>
      <c r="T283" s="311"/>
      <c r="U283" s="311"/>
      <c r="V283" s="311"/>
      <c r="W283" s="311"/>
      <c r="X283" s="311"/>
      <c r="Y283" s="311"/>
      <c r="Z283" s="311"/>
      <c r="AA283" s="311"/>
      <c r="AB283" s="311"/>
      <c r="AC283" s="311"/>
      <c r="AD283" s="311"/>
      <c r="AE283" s="311"/>
      <c r="AF283" s="311"/>
      <c r="AG283" s="311"/>
      <c r="AH283" s="311"/>
      <c r="AI283" s="311"/>
      <c r="AJ283" s="311"/>
      <c r="AK283" s="311"/>
      <c r="AL283" s="311"/>
      <c r="AM283" s="311"/>
      <c r="AN283" s="311"/>
      <c r="AO283" s="311"/>
      <c r="AP283" s="311"/>
      <c r="AQ283" s="311"/>
      <c r="AR283" s="311"/>
      <c r="AS283" s="311"/>
      <c r="AT283" s="311"/>
      <c r="AU283" s="311"/>
      <c r="AV283" s="311"/>
      <c r="AW283" s="311"/>
      <c r="AX283" s="311"/>
      <c r="AY283" s="311"/>
      <c r="AZ283" s="311"/>
      <c r="BA283" s="311"/>
      <c r="BB283" s="311"/>
      <c r="BC283" s="311"/>
      <c r="BD283" s="311"/>
      <c r="BE283" s="311"/>
      <c r="BF283" s="311"/>
      <c r="BG283" s="311"/>
      <c r="BH283" s="311"/>
    </row>
    <row r="285" spans="2:60" x14ac:dyDescent="0.2">
      <c r="E285" s="312"/>
      <c r="F285" s="394">
        <v>6750</v>
      </c>
      <c r="G285" s="395">
        <v>12501</v>
      </c>
      <c r="H285" s="391">
        <v>13000</v>
      </c>
      <c r="I285" s="312"/>
    </row>
    <row r="286" spans="2:60" x14ac:dyDescent="0.2">
      <c r="E286" s="312"/>
      <c r="F286" s="395">
        <f t="shared" ref="F286:F314" si="31">F285+250</f>
        <v>7000</v>
      </c>
      <c r="G286" s="395">
        <f t="shared" ref="G286:G309" si="32">G285+500</f>
        <v>13001</v>
      </c>
      <c r="H286" s="312"/>
      <c r="I286" s="312"/>
    </row>
    <row r="287" spans="2:60" x14ac:dyDescent="0.2">
      <c r="E287" s="312"/>
      <c r="F287" s="395">
        <f t="shared" si="31"/>
        <v>7250</v>
      </c>
      <c r="G287" s="395">
        <f t="shared" si="32"/>
        <v>13501</v>
      </c>
      <c r="H287" s="312"/>
      <c r="I287" s="312"/>
    </row>
    <row r="288" spans="2:60" x14ac:dyDescent="0.2">
      <c r="E288" s="312"/>
      <c r="F288" s="395">
        <f t="shared" si="31"/>
        <v>7500</v>
      </c>
      <c r="G288" s="395">
        <f t="shared" si="32"/>
        <v>14001</v>
      </c>
      <c r="H288" s="312"/>
      <c r="I288" s="312"/>
    </row>
    <row r="289" spans="2:13" x14ac:dyDescent="0.2">
      <c r="E289" s="312"/>
      <c r="F289" s="395">
        <f t="shared" si="31"/>
        <v>7750</v>
      </c>
      <c r="G289" s="395">
        <f t="shared" si="32"/>
        <v>14501</v>
      </c>
      <c r="H289" s="312"/>
      <c r="I289" s="312"/>
    </row>
    <row r="290" spans="2:13" x14ac:dyDescent="0.2">
      <c r="E290" s="312"/>
      <c r="F290" s="395">
        <f t="shared" si="31"/>
        <v>8000</v>
      </c>
      <c r="G290" s="395">
        <f t="shared" si="32"/>
        <v>15001</v>
      </c>
      <c r="H290" s="312"/>
      <c r="I290" s="312"/>
    </row>
    <row r="291" spans="2:13" x14ac:dyDescent="0.2">
      <c r="E291" s="311"/>
      <c r="F291" s="395">
        <f t="shared" si="31"/>
        <v>8250</v>
      </c>
      <c r="G291" s="395">
        <f t="shared" si="32"/>
        <v>15501</v>
      </c>
      <c r="H291" s="311"/>
      <c r="I291" s="311"/>
    </row>
    <row r="292" spans="2:13" x14ac:dyDescent="0.2">
      <c r="E292" s="311"/>
      <c r="F292" s="395">
        <f t="shared" si="31"/>
        <v>8500</v>
      </c>
      <c r="G292" s="395">
        <f t="shared" si="32"/>
        <v>16001</v>
      </c>
      <c r="H292" s="311"/>
      <c r="I292" s="311"/>
    </row>
    <row r="293" spans="2:13" x14ac:dyDescent="0.2">
      <c r="E293" s="311"/>
      <c r="F293" s="395">
        <f t="shared" si="31"/>
        <v>8750</v>
      </c>
      <c r="G293" s="395">
        <f t="shared" si="32"/>
        <v>16501</v>
      </c>
      <c r="H293" s="311"/>
      <c r="I293" s="311"/>
    </row>
    <row r="294" spans="2:13" x14ac:dyDescent="0.2">
      <c r="E294" s="311"/>
      <c r="F294" s="395">
        <f t="shared" si="31"/>
        <v>9000</v>
      </c>
      <c r="G294" s="395">
        <f t="shared" si="32"/>
        <v>17001</v>
      </c>
      <c r="H294" s="311"/>
      <c r="I294" s="311"/>
    </row>
    <row r="295" spans="2:13" x14ac:dyDescent="0.2">
      <c r="E295" s="311"/>
      <c r="F295" s="395">
        <f t="shared" si="31"/>
        <v>9250</v>
      </c>
      <c r="G295" s="395">
        <f t="shared" si="32"/>
        <v>17501</v>
      </c>
      <c r="H295" s="311"/>
      <c r="I295" s="311"/>
    </row>
    <row r="296" spans="2:13" ht="12.75" customHeight="1" x14ac:dyDescent="0.2">
      <c r="B296" s="441"/>
      <c r="C296" s="442"/>
      <c r="D296" s="443"/>
      <c r="E296" s="311"/>
      <c r="F296" s="395">
        <f t="shared" si="31"/>
        <v>9500</v>
      </c>
      <c r="G296" s="395">
        <f t="shared" si="32"/>
        <v>18001</v>
      </c>
      <c r="H296" s="311"/>
      <c r="I296" s="311"/>
      <c r="J296" s="444"/>
      <c r="K296" s="444"/>
      <c r="M296" s="314"/>
    </row>
    <row r="297" spans="2:13" x14ac:dyDescent="0.2">
      <c r="E297" s="311"/>
      <c r="F297" s="395">
        <f t="shared" si="31"/>
        <v>9750</v>
      </c>
      <c r="G297" s="395">
        <f t="shared" si="32"/>
        <v>18501</v>
      </c>
      <c r="H297" s="311"/>
      <c r="I297" s="311"/>
    </row>
    <row r="298" spans="2:13" x14ac:dyDescent="0.2">
      <c r="E298" s="311"/>
      <c r="F298" s="395">
        <f t="shared" si="31"/>
        <v>10000</v>
      </c>
      <c r="G298" s="395">
        <f t="shared" si="32"/>
        <v>19001</v>
      </c>
      <c r="H298" s="311"/>
      <c r="I298" s="311"/>
    </row>
    <row r="299" spans="2:13" x14ac:dyDescent="0.2">
      <c r="E299" s="312"/>
      <c r="F299" s="395">
        <f t="shared" si="31"/>
        <v>10250</v>
      </c>
      <c r="G299" s="395">
        <f t="shared" si="32"/>
        <v>19501</v>
      </c>
      <c r="H299" s="312"/>
      <c r="I299" s="312"/>
    </row>
    <row r="300" spans="2:13" x14ac:dyDescent="0.2">
      <c r="E300" s="311"/>
      <c r="F300" s="395">
        <f t="shared" si="31"/>
        <v>10500</v>
      </c>
      <c r="G300" s="395">
        <f t="shared" si="32"/>
        <v>20001</v>
      </c>
      <c r="H300" s="311"/>
      <c r="I300" s="311"/>
    </row>
    <row r="301" spans="2:13" x14ac:dyDescent="0.2">
      <c r="E301" s="311"/>
      <c r="F301" s="395">
        <f t="shared" si="31"/>
        <v>10750</v>
      </c>
      <c r="G301" s="395">
        <f t="shared" si="32"/>
        <v>20501</v>
      </c>
      <c r="H301" s="311"/>
      <c r="I301" s="311"/>
    </row>
    <row r="302" spans="2:13" x14ac:dyDescent="0.2">
      <c r="E302" s="311"/>
      <c r="F302" s="395">
        <f t="shared" si="31"/>
        <v>11000</v>
      </c>
      <c r="G302" s="395">
        <f t="shared" si="32"/>
        <v>21001</v>
      </c>
      <c r="H302" s="311"/>
      <c r="I302" s="311"/>
    </row>
    <row r="303" spans="2:13" x14ac:dyDescent="0.2">
      <c r="E303" s="311"/>
      <c r="F303" s="395">
        <f t="shared" si="31"/>
        <v>11250</v>
      </c>
      <c r="G303" s="395">
        <f t="shared" si="32"/>
        <v>21501</v>
      </c>
      <c r="H303" s="311"/>
      <c r="I303" s="311"/>
    </row>
    <row r="304" spans="2:13" x14ac:dyDescent="0.2">
      <c r="E304" s="311"/>
      <c r="F304" s="395">
        <f t="shared" si="31"/>
        <v>11500</v>
      </c>
      <c r="G304" s="395">
        <f t="shared" si="32"/>
        <v>22001</v>
      </c>
      <c r="H304" s="312"/>
      <c r="I304" s="312"/>
    </row>
    <row r="305" spans="5:9" x14ac:dyDescent="0.2">
      <c r="E305" s="311"/>
      <c r="F305" s="395">
        <f t="shared" si="31"/>
        <v>11750</v>
      </c>
      <c r="G305" s="395">
        <f t="shared" si="32"/>
        <v>22501</v>
      </c>
      <c r="H305" s="311"/>
      <c r="I305" s="311"/>
    </row>
    <row r="306" spans="5:9" x14ac:dyDescent="0.2">
      <c r="E306" s="311"/>
      <c r="F306" s="395">
        <f t="shared" si="31"/>
        <v>12000</v>
      </c>
      <c r="G306" s="395">
        <f t="shared" si="32"/>
        <v>23001</v>
      </c>
      <c r="H306" s="312"/>
      <c r="I306" s="312"/>
    </row>
    <row r="307" spans="5:9" x14ac:dyDescent="0.2">
      <c r="E307" s="311"/>
      <c r="F307" s="395">
        <f t="shared" si="31"/>
        <v>12250</v>
      </c>
      <c r="G307" s="395">
        <f t="shared" si="32"/>
        <v>23501</v>
      </c>
      <c r="H307" s="311"/>
      <c r="I307" s="311"/>
    </row>
    <row r="308" spans="5:9" x14ac:dyDescent="0.2">
      <c r="E308" s="311"/>
      <c r="F308" s="395">
        <f t="shared" si="31"/>
        <v>12500</v>
      </c>
      <c r="G308" s="395">
        <f t="shared" si="32"/>
        <v>24001</v>
      </c>
      <c r="H308" s="311"/>
      <c r="I308" s="311"/>
    </row>
    <row r="309" spans="5:9" x14ac:dyDescent="0.2">
      <c r="E309" s="311"/>
      <c r="F309" s="395">
        <f t="shared" si="31"/>
        <v>12750</v>
      </c>
      <c r="G309" s="395">
        <f t="shared" si="32"/>
        <v>24501</v>
      </c>
      <c r="H309" s="311"/>
      <c r="I309" s="311"/>
    </row>
    <row r="310" spans="5:9" x14ac:dyDescent="0.2">
      <c r="E310" s="311"/>
      <c r="F310" s="395">
        <f t="shared" si="31"/>
        <v>13000</v>
      </c>
      <c r="G310" s="311"/>
      <c r="H310" s="311"/>
      <c r="I310" s="311"/>
    </row>
    <row r="311" spans="5:9" x14ac:dyDescent="0.2">
      <c r="E311" s="311"/>
      <c r="F311" s="395">
        <f t="shared" si="31"/>
        <v>13250</v>
      </c>
      <c r="G311" s="311"/>
      <c r="H311" s="311"/>
      <c r="I311" s="311"/>
    </row>
    <row r="312" spans="5:9" x14ac:dyDescent="0.2">
      <c r="E312" s="311"/>
      <c r="F312" s="395">
        <f t="shared" si="31"/>
        <v>13500</v>
      </c>
      <c r="G312" s="311"/>
      <c r="H312" s="311"/>
      <c r="I312" s="311"/>
    </row>
    <row r="313" spans="5:9" x14ac:dyDescent="0.2">
      <c r="E313" s="311"/>
      <c r="F313" s="395">
        <f t="shared" si="31"/>
        <v>13750</v>
      </c>
      <c r="G313" s="311"/>
      <c r="H313" s="311"/>
      <c r="I313" s="311"/>
    </row>
    <row r="314" spans="5:9" x14ac:dyDescent="0.2">
      <c r="F314" s="395">
        <f t="shared" si="31"/>
        <v>14000</v>
      </c>
    </row>
  </sheetData>
  <sheetProtection selectLockedCells="1" selectUnlockedCells="1"/>
  <mergeCells count="244">
    <mergeCell ref="B9:M9"/>
    <mergeCell ref="B10:M10"/>
    <mergeCell ref="B11:M11"/>
    <mergeCell ref="B12:M12"/>
    <mergeCell ref="K13:M13"/>
    <mergeCell ref="B14:M14"/>
    <mergeCell ref="I2:M2"/>
    <mergeCell ref="B4:M4"/>
    <mergeCell ref="B5:M5"/>
    <mergeCell ref="B6:M6"/>
    <mergeCell ref="B7:M7"/>
    <mergeCell ref="B8:M8"/>
    <mergeCell ref="B21:M21"/>
    <mergeCell ref="B22:M22"/>
    <mergeCell ref="B23:M23"/>
    <mergeCell ref="B24:M24"/>
    <mergeCell ref="B25:M25"/>
    <mergeCell ref="B26:M26"/>
    <mergeCell ref="B15:M15"/>
    <mergeCell ref="B16:M16"/>
    <mergeCell ref="B17:M17"/>
    <mergeCell ref="B18:M18"/>
    <mergeCell ref="B19:M19"/>
    <mergeCell ref="B20:M20"/>
    <mergeCell ref="B33:M33"/>
    <mergeCell ref="B34:M34"/>
    <mergeCell ref="B35:M35"/>
    <mergeCell ref="B36:M36"/>
    <mergeCell ref="B37:M37"/>
    <mergeCell ref="B38:M38"/>
    <mergeCell ref="B27:M27"/>
    <mergeCell ref="B28:M28"/>
    <mergeCell ref="B29:M29"/>
    <mergeCell ref="B30:M30"/>
    <mergeCell ref="B31:M31"/>
    <mergeCell ref="B32:M32"/>
    <mergeCell ref="B46:M46"/>
    <mergeCell ref="B47:M47"/>
    <mergeCell ref="B48:M48"/>
    <mergeCell ref="B49:M49"/>
    <mergeCell ref="B50:M50"/>
    <mergeCell ref="B51:M51"/>
    <mergeCell ref="K40:M40"/>
    <mergeCell ref="B41:M41"/>
    <mergeCell ref="B42:M42"/>
    <mergeCell ref="B43:M43"/>
    <mergeCell ref="B44:M44"/>
    <mergeCell ref="B45:M45"/>
    <mergeCell ref="B58:M58"/>
    <mergeCell ref="B59:M59"/>
    <mergeCell ref="B60:M60"/>
    <mergeCell ref="B61:M61"/>
    <mergeCell ref="B62:M62"/>
    <mergeCell ref="B63:M63"/>
    <mergeCell ref="B52:M52"/>
    <mergeCell ref="B53:M53"/>
    <mergeCell ref="B54:M54"/>
    <mergeCell ref="B55:M55"/>
    <mergeCell ref="B56:M56"/>
    <mergeCell ref="B57:M57"/>
    <mergeCell ref="B71:M71"/>
    <mergeCell ref="B72:M72"/>
    <mergeCell ref="B73:M73"/>
    <mergeCell ref="B74:M74"/>
    <mergeCell ref="B75:M75"/>
    <mergeCell ref="B76:M76"/>
    <mergeCell ref="B64:M64"/>
    <mergeCell ref="B65:M65"/>
    <mergeCell ref="K67:M67"/>
    <mergeCell ref="B68:M68"/>
    <mergeCell ref="B69:M69"/>
    <mergeCell ref="B70:M70"/>
    <mergeCell ref="B83:M83"/>
    <mergeCell ref="B84:M84"/>
    <mergeCell ref="B85:M85"/>
    <mergeCell ref="B86:M86"/>
    <mergeCell ref="B87:M87"/>
    <mergeCell ref="B88:M88"/>
    <mergeCell ref="B77:M77"/>
    <mergeCell ref="B78:M78"/>
    <mergeCell ref="B79:M79"/>
    <mergeCell ref="B80:M80"/>
    <mergeCell ref="B81:M81"/>
    <mergeCell ref="B82:M82"/>
    <mergeCell ref="B96:M96"/>
    <mergeCell ref="B97:M97"/>
    <mergeCell ref="B98:M98"/>
    <mergeCell ref="B99:M99"/>
    <mergeCell ref="B100:M100"/>
    <mergeCell ref="B101:M101"/>
    <mergeCell ref="B89:M89"/>
    <mergeCell ref="B90:M90"/>
    <mergeCell ref="B91:M91"/>
    <mergeCell ref="B92:M92"/>
    <mergeCell ref="K94:M94"/>
    <mergeCell ref="B95:M95"/>
    <mergeCell ref="B108:M108"/>
    <mergeCell ref="B109:M109"/>
    <mergeCell ref="B110:M110"/>
    <mergeCell ref="B111:M111"/>
    <mergeCell ref="B112:M112"/>
    <mergeCell ref="B113:M113"/>
    <mergeCell ref="B102:M102"/>
    <mergeCell ref="B103:M103"/>
    <mergeCell ref="B104:M104"/>
    <mergeCell ref="B105:M105"/>
    <mergeCell ref="B106:M106"/>
    <mergeCell ref="B107:M107"/>
    <mergeCell ref="K121:M121"/>
    <mergeCell ref="B122:M122"/>
    <mergeCell ref="B123:M123"/>
    <mergeCell ref="B124:M124"/>
    <mergeCell ref="B125:M125"/>
    <mergeCell ref="B126:M126"/>
    <mergeCell ref="B114:M114"/>
    <mergeCell ref="B115:M115"/>
    <mergeCell ref="B116:M116"/>
    <mergeCell ref="B117:M117"/>
    <mergeCell ref="B118:M118"/>
    <mergeCell ref="B119:M119"/>
    <mergeCell ref="B133:M133"/>
    <mergeCell ref="B134:M134"/>
    <mergeCell ref="B135:M135"/>
    <mergeCell ref="B136:M136"/>
    <mergeCell ref="B137:M137"/>
    <mergeCell ref="B138:M138"/>
    <mergeCell ref="B127:M127"/>
    <mergeCell ref="B128:M128"/>
    <mergeCell ref="B129:M129"/>
    <mergeCell ref="B130:M130"/>
    <mergeCell ref="B131:M131"/>
    <mergeCell ref="B132:M132"/>
    <mergeCell ref="B145:M145"/>
    <mergeCell ref="B146:M146"/>
    <mergeCell ref="K148:M148"/>
    <mergeCell ref="B149:M149"/>
    <mergeCell ref="B150:M150"/>
    <mergeCell ref="B151:M151"/>
    <mergeCell ref="B139:M139"/>
    <mergeCell ref="B140:M140"/>
    <mergeCell ref="B141:M141"/>
    <mergeCell ref="B142:M142"/>
    <mergeCell ref="B143:M143"/>
    <mergeCell ref="B144:M144"/>
    <mergeCell ref="B158:M158"/>
    <mergeCell ref="K160:M160"/>
    <mergeCell ref="B161:M161"/>
    <mergeCell ref="B162:M162"/>
    <mergeCell ref="B163:M163"/>
    <mergeCell ref="B164:M164"/>
    <mergeCell ref="B152:M152"/>
    <mergeCell ref="B153:M153"/>
    <mergeCell ref="B154:M154"/>
    <mergeCell ref="B155:M155"/>
    <mergeCell ref="B156:M156"/>
    <mergeCell ref="B157:M157"/>
    <mergeCell ref="B171:M171"/>
    <mergeCell ref="B172:M172"/>
    <mergeCell ref="B173:M173"/>
    <mergeCell ref="B174:M174"/>
    <mergeCell ref="B175:M175"/>
    <mergeCell ref="B176:M176"/>
    <mergeCell ref="B165:M165"/>
    <mergeCell ref="B166:M166"/>
    <mergeCell ref="B167:M167"/>
    <mergeCell ref="B168:M168"/>
    <mergeCell ref="B169:M169"/>
    <mergeCell ref="B170:M170"/>
    <mergeCell ref="B183:M183"/>
    <mergeCell ref="B184:M184"/>
    <mergeCell ref="B185:M185"/>
    <mergeCell ref="B187:M187"/>
    <mergeCell ref="B189:E191"/>
    <mergeCell ref="F189:M189"/>
    <mergeCell ref="F190:M190"/>
    <mergeCell ref="F191:M191"/>
    <mergeCell ref="B177:M177"/>
    <mergeCell ref="B178:M178"/>
    <mergeCell ref="B179:M179"/>
    <mergeCell ref="B180:M180"/>
    <mergeCell ref="B181:M181"/>
    <mergeCell ref="B182:M182"/>
    <mergeCell ref="F192:M192"/>
    <mergeCell ref="F193:M193"/>
    <mergeCell ref="F194:M194"/>
    <mergeCell ref="B196:E201"/>
    <mergeCell ref="F196:F200"/>
    <mergeCell ref="G196:M196"/>
    <mergeCell ref="G197:M197"/>
    <mergeCell ref="G198:M198"/>
    <mergeCell ref="G199:M199"/>
    <mergeCell ref="G200:M200"/>
    <mergeCell ref="F211:M211"/>
    <mergeCell ref="B212:E214"/>
    <mergeCell ref="F212:M212"/>
    <mergeCell ref="F213:M213"/>
    <mergeCell ref="F214:M214"/>
    <mergeCell ref="F216:M216"/>
    <mergeCell ref="F201:M201"/>
    <mergeCell ref="F202:M202"/>
    <mergeCell ref="F204:M204"/>
    <mergeCell ref="B205:E209"/>
    <mergeCell ref="F205:M205"/>
    <mergeCell ref="F206:M206"/>
    <mergeCell ref="F207:M207"/>
    <mergeCell ref="F208:M208"/>
    <mergeCell ref="F209:M209"/>
    <mergeCell ref="K226:M226"/>
    <mergeCell ref="B233:M233"/>
    <mergeCell ref="B234:G234"/>
    <mergeCell ref="H234:L234"/>
    <mergeCell ref="M234:M235"/>
    <mergeCell ref="B241:M241"/>
    <mergeCell ref="B217:M217"/>
    <mergeCell ref="B219:M219"/>
    <mergeCell ref="B220:M220"/>
    <mergeCell ref="B221:B223"/>
    <mergeCell ref="C221:C222"/>
    <mergeCell ref="D221:D223"/>
    <mergeCell ref="E221:E222"/>
    <mergeCell ref="F221:F222"/>
    <mergeCell ref="G221:G222"/>
    <mergeCell ref="H221:H222"/>
    <mergeCell ref="B281:M281"/>
    <mergeCell ref="B282:M282"/>
    <mergeCell ref="I273:J273"/>
    <mergeCell ref="I274:J274"/>
    <mergeCell ref="B276:M276"/>
    <mergeCell ref="B278:M278"/>
    <mergeCell ref="B279:M279"/>
    <mergeCell ref="B280:M280"/>
    <mergeCell ref="L248:M248"/>
    <mergeCell ref="I249:M256"/>
    <mergeCell ref="I269:J269"/>
    <mergeCell ref="I270:J270"/>
    <mergeCell ref="I271:J271"/>
    <mergeCell ref="I272:J272"/>
    <mergeCell ref="H243:H256"/>
    <mergeCell ref="I243:K243"/>
    <mergeCell ref="I244:K244"/>
    <mergeCell ref="I245:K245"/>
    <mergeCell ref="I246:K246"/>
    <mergeCell ref="I247:K247"/>
    <mergeCell ref="I248:K248"/>
  </mergeCells>
  <conditionalFormatting sqref="O187:BH187">
    <cfRule type="cellIs" dxfId="1" priority="2" operator="greaterThan">
      <formula>$H$230</formula>
    </cfRule>
  </conditionalFormatting>
  <conditionalFormatting sqref="J222">
    <cfRule type="cellIs" dxfId="0" priority="1" operator="greaterThan">
      <formula>10499.99</formula>
    </cfRule>
  </conditionalFormatting>
  <dataValidations count="2">
    <dataValidation type="list" allowBlank="1" showInputMessage="1" showErrorMessage="1" sqref="B240:D240">
      <formula1>Список</formula1>
    </dataValidation>
    <dataValidation type="list" allowBlank="1" showInputMessage="1" showErrorMessage="1" sqref="N190:BH190 N193:BH193">
      <formula1>Коэффициент</formula1>
    </dataValidation>
  </dataValidations>
  <pageMargins left="3.937007874015748E-2" right="0" top="0.39370078740157483" bottom="0" header="0.31496062992125984" footer="0.31496062992125984"/>
  <pageSetup paperSize="9" scale="4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[3]ДСП!#REF!</xm:f>
          </x14:formula1>
          <xm:sqref>B236:B239</xm:sqref>
        </x14:dataValidation>
        <x14:dataValidation type="list" allowBlank="1" showInputMessage="1" showErrorMessage="1">
          <x14:formula1>
            <xm:f>[3]ДСП!#REF!</xm:f>
          </x14:formula1>
          <xm:sqref>N12:BH12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Taxi1</dc:creator>
  <cp:lastModifiedBy>Регина</cp:lastModifiedBy>
  <dcterms:created xsi:type="dcterms:W3CDTF">2016-02-01T15:09:33Z</dcterms:created>
  <dcterms:modified xsi:type="dcterms:W3CDTF">2016-02-12T11:19:57Z</dcterms:modified>
</cp:coreProperties>
</file>