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355" windowHeight="7755" tabRatio="781" activeTab="0"/>
  </bookViews>
  <sheets>
    <sheet name="Багет" sheetId="1" r:id="rId1"/>
    <sheet name="Картины" sheetId="2" r:id="rId2"/>
    <sheet name="ШирПечать" sheetId="3" r:id="rId3"/>
  </sheets>
  <definedNames>
    <definedName name="Адреса" localSheetId="0">'Багет'!$B$70:$B$71</definedName>
    <definedName name="Адреса" localSheetId="1">'Картины'!$B$70:$B$71</definedName>
    <definedName name="_xlnm.Print_Area" localSheetId="0">'Багет'!$A$1:$L$58</definedName>
    <definedName name="_xlnm.Print_Area" localSheetId="1">'Картины'!$A$1:$L$65</definedName>
    <definedName name="Оплата" localSheetId="1">'Картины'!$B$74:$B$75</definedName>
    <definedName name="Оплата">'Багет'!$B$74:$B$75</definedName>
  </definedNames>
  <calcPr fullCalcOnLoad="1"/>
</workbook>
</file>

<file path=xl/sharedStrings.xml><?xml version="1.0" encoding="utf-8"?>
<sst xmlns="http://schemas.openxmlformats.org/spreadsheetml/2006/main" count="419" uniqueCount="103">
  <si>
    <t>Цена</t>
  </si>
  <si>
    <t>Наименование работ</t>
  </si>
  <si>
    <t>Параметры, м</t>
  </si>
  <si>
    <t>Общая стоимость</t>
  </si>
  <si>
    <t>Цена багета, руб.</t>
  </si>
  <si>
    <t>40х60</t>
  </si>
  <si>
    <t>50х60</t>
  </si>
  <si>
    <t>60х70</t>
  </si>
  <si>
    <t>60х80</t>
  </si>
  <si>
    <t>60х90</t>
  </si>
  <si>
    <t>100х150</t>
  </si>
  <si>
    <t>Длина,м</t>
  </si>
  <si>
    <t>Печать</t>
  </si>
  <si>
    <t>Наклейка на пенокартон</t>
  </si>
  <si>
    <t>Max</t>
  </si>
  <si>
    <t>1,6 на 4</t>
  </si>
  <si>
    <t>1,05 на 4</t>
  </si>
  <si>
    <t>0,76 на 4</t>
  </si>
  <si>
    <t>1,5 на 4</t>
  </si>
  <si>
    <t>Ширина, м</t>
  </si>
  <si>
    <t>За м кв</t>
  </si>
  <si>
    <t>Артикул багета</t>
  </si>
  <si>
    <t>Артикул паспарту</t>
  </si>
  <si>
    <t>Дата выдачи</t>
  </si>
  <si>
    <t>Оплачено</t>
  </si>
  <si>
    <t>Михневская ул., д. 7, стр. 2 (магазин "Галантерея")</t>
  </si>
  <si>
    <t>Бирюлевская ул., д. 5, корп.1 (магазин "Магнит")</t>
  </si>
  <si>
    <t>+7 (926) 158-20-60</t>
  </si>
  <si>
    <t xml:space="preserve">Дата приема </t>
  </si>
  <si>
    <t>Не оплачено</t>
  </si>
  <si>
    <t>Работы</t>
  </si>
  <si>
    <t>Длина, м</t>
  </si>
  <si>
    <t>Высота, м</t>
  </si>
  <si>
    <t>Чистый периметр</t>
  </si>
  <si>
    <t>Чистая площадь</t>
  </si>
  <si>
    <t>МДФ</t>
  </si>
  <si>
    <t>Музейное стекло</t>
  </si>
  <si>
    <t>Артикул канта</t>
  </si>
  <si>
    <t>Цена канта</t>
  </si>
  <si>
    <t>Периметр с кантом (расход)</t>
  </si>
  <si>
    <t>Площадь с кантом</t>
  </si>
  <si>
    <t>Ширина паспарту, м</t>
  </si>
  <si>
    <t>Периметр паспарту</t>
  </si>
  <si>
    <t>Внешний кант</t>
  </si>
  <si>
    <t>Периметр с кантом (расход) итоговый</t>
  </si>
  <si>
    <t>Площадь с кантом итоговая</t>
  </si>
  <si>
    <t>Площадь с багетом</t>
  </si>
  <si>
    <t>Нет</t>
  </si>
  <si>
    <t>нет</t>
  </si>
  <si>
    <t>да</t>
  </si>
  <si>
    <t>Ширина багета (цена работ), м</t>
  </si>
  <si>
    <t>Расход и стоимость багета</t>
  </si>
  <si>
    <t>Скидка</t>
  </si>
  <si>
    <t>Подвеска</t>
  </si>
  <si>
    <t>Простая</t>
  </si>
  <si>
    <t>Металлическая нить и кольца</t>
  </si>
  <si>
    <t>Киот</t>
  </si>
  <si>
    <t>Артикул внешнего багета</t>
  </si>
  <si>
    <t>Ширина внешнего багета, м</t>
  </si>
  <si>
    <t>Цена внешнего багета, руб.</t>
  </si>
  <si>
    <t>Площадь паспарту (расход)</t>
  </si>
  <si>
    <t>Дополнительный багет</t>
  </si>
  <si>
    <t>руб/м</t>
  </si>
  <si>
    <t xml:space="preserve"> руб/м.кв</t>
  </si>
  <si>
    <t>Глухой подрамник</t>
  </si>
  <si>
    <t>Ткань, велюр, металлик</t>
  </si>
  <si>
    <t>Цветной картон</t>
  </si>
  <si>
    <t>Со скошенной кромкой</t>
  </si>
  <si>
    <t>Натяжка холста на подрамник</t>
  </si>
  <si>
    <t>Снятие холста с подрамника</t>
  </si>
  <si>
    <t>Натяжка вышивки на картон</t>
  </si>
  <si>
    <t>Стекло 2 мм</t>
  </si>
  <si>
    <t>Оргстекло 2 мм</t>
  </si>
  <si>
    <t>Матовое антибликовое стекло</t>
  </si>
  <si>
    <t>Задний картон</t>
  </si>
  <si>
    <t>Сумма</t>
  </si>
  <si>
    <t>Ф.И.О</t>
  </si>
  <si>
    <t>Тел.</t>
  </si>
  <si>
    <t>Кант</t>
  </si>
  <si>
    <t>Финишная обработка (гель)</t>
  </si>
  <si>
    <t>Работы по монтажу</t>
  </si>
  <si>
    <t>Поиск, создание картины</t>
  </si>
  <si>
    <t>Стилизация</t>
  </si>
  <si>
    <t>руб/м.кв</t>
  </si>
  <si>
    <t>от 550</t>
  </si>
  <si>
    <t>руб</t>
  </si>
  <si>
    <t>от 200</t>
  </si>
  <si>
    <t>Название картины</t>
  </si>
  <si>
    <t>Лакировка</t>
  </si>
  <si>
    <t xml:space="preserve"> руб</t>
  </si>
  <si>
    <t>Матовая/глянцевая Durst</t>
  </si>
  <si>
    <t>Металлик Durst</t>
  </si>
  <si>
    <t>Пленка на просвет     Durst</t>
  </si>
  <si>
    <t>Матовая/полуглянец Epson</t>
  </si>
  <si>
    <t>Холст                 Epson</t>
  </si>
  <si>
    <t>Самоклейка пленка виниловая         Epson</t>
  </si>
  <si>
    <t>Бумага акварельная       Epson</t>
  </si>
  <si>
    <t>0,6 на 4</t>
  </si>
  <si>
    <t>Пенокартон</t>
  </si>
  <si>
    <t>Количество</t>
  </si>
  <si>
    <t>Итого</t>
  </si>
  <si>
    <t>Итого за багетные работы</t>
  </si>
  <si>
    <t>Итого за создание холста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</si>
</sst>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9"/>
      <color indexed="23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Verdana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Lobste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indexed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  <font>
      <sz val="11"/>
      <color theme="1" tint="0.04998999834060669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4" borderId="24" xfId="0" applyFont="1" applyFill="1" applyBorder="1" applyAlignment="1">
      <alignment/>
    </xf>
    <xf numFmtId="0" fontId="2" fillId="14" borderId="0" xfId="0" applyFont="1" applyFill="1" applyBorder="1" applyAlignment="1">
      <alignment/>
    </xf>
    <xf numFmtId="0" fontId="2" fillId="14" borderId="24" xfId="0" applyFont="1" applyFill="1" applyBorder="1" applyAlignment="1">
      <alignment/>
    </xf>
    <xf numFmtId="0" fontId="2" fillId="14" borderId="0" xfId="0" applyFont="1" applyFill="1" applyBorder="1" applyAlignment="1">
      <alignment/>
    </xf>
    <xf numFmtId="0" fontId="2" fillId="14" borderId="25" xfId="0" applyFont="1" applyFill="1" applyBorder="1" applyAlignment="1">
      <alignment/>
    </xf>
    <xf numFmtId="0" fontId="2" fillId="14" borderId="2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6" xfId="0" applyFill="1" applyBorder="1" applyAlignment="1">
      <alignment/>
    </xf>
    <xf numFmtId="0" fontId="2" fillId="15" borderId="22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19" xfId="0" applyFont="1" applyFill="1" applyBorder="1" applyAlignment="1">
      <alignment/>
    </xf>
    <xf numFmtId="0" fontId="2" fillId="15" borderId="23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" fillId="14" borderId="2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6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0" fontId="0" fillId="14" borderId="22" xfId="0" applyFill="1" applyBorder="1" applyAlignment="1">
      <alignment/>
    </xf>
    <xf numFmtId="0" fontId="0" fillId="14" borderId="21" xfId="0" applyFill="1" applyBorder="1" applyAlignment="1">
      <alignment/>
    </xf>
    <xf numFmtId="0" fontId="0" fillId="14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30" fillId="14" borderId="19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9" fontId="3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0" fillId="33" borderId="32" xfId="0" applyFill="1" applyBorder="1" applyAlignment="1">
      <alignment/>
    </xf>
    <xf numFmtId="0" fontId="49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vertical="center" wrapText="1"/>
    </xf>
    <xf numFmtId="0" fontId="0" fillId="33" borderId="27" xfId="0" applyFill="1" applyBorder="1" applyAlignment="1">
      <alignment/>
    </xf>
    <xf numFmtId="0" fontId="49" fillId="33" borderId="27" xfId="0" applyFont="1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2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vertical="center" wrapText="1"/>
    </xf>
    <xf numFmtId="0" fontId="1" fillId="34" borderId="32" xfId="0" applyFont="1" applyFill="1" applyBorder="1" applyAlignment="1">
      <alignment vertical="center" wrapText="1"/>
    </xf>
    <xf numFmtId="0" fontId="49" fillId="34" borderId="27" xfId="0" applyFont="1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36" xfId="0" applyFont="1" applyFill="1" applyBorder="1" applyAlignment="1">
      <alignment horizontal="center" vertical="center" wrapText="1"/>
    </xf>
    <xf numFmtId="0" fontId="49" fillId="34" borderId="37" xfId="0" applyFont="1" applyFill="1" applyBorder="1" applyAlignment="1">
      <alignment vertical="center" wrapText="1"/>
    </xf>
    <xf numFmtId="0" fontId="1" fillId="34" borderId="38" xfId="0" applyFont="1" applyFill="1" applyBorder="1" applyAlignment="1">
      <alignment vertical="center" wrapText="1"/>
    </xf>
    <xf numFmtId="0" fontId="0" fillId="34" borderId="37" xfId="0" applyFill="1" applyBorder="1" applyAlignment="1">
      <alignment/>
    </xf>
    <xf numFmtId="0" fontId="49" fillId="34" borderId="37" xfId="0" applyFont="1" applyFill="1" applyBorder="1" applyAlignment="1">
      <alignment/>
    </xf>
    <xf numFmtId="0" fontId="0" fillId="34" borderId="39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/>
    </xf>
    <xf numFmtId="0" fontId="1" fillId="34" borderId="27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2" fillId="14" borderId="17" xfId="0" applyFont="1" applyFill="1" applyBorder="1" applyAlignment="1">
      <alignment/>
    </xf>
    <xf numFmtId="0" fontId="2" fillId="14" borderId="18" xfId="0" applyFont="1" applyFill="1" applyBorder="1" applyAlignment="1">
      <alignment/>
    </xf>
    <xf numFmtId="0" fontId="2" fillId="14" borderId="1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15" borderId="21" xfId="0" applyFont="1" applyFill="1" applyBorder="1" applyAlignment="1">
      <alignment/>
    </xf>
    <xf numFmtId="0" fontId="2" fillId="15" borderId="22" xfId="0" applyFont="1" applyFill="1" applyBorder="1" applyAlignment="1">
      <alignment/>
    </xf>
    <xf numFmtId="0" fontId="2" fillId="15" borderId="21" xfId="0" applyFont="1" applyFill="1" applyBorder="1" applyAlignment="1">
      <alignment/>
    </xf>
    <xf numFmtId="0" fontId="2" fillId="15" borderId="23" xfId="0" applyFont="1" applyFill="1" applyBorder="1" applyAlignment="1">
      <alignment/>
    </xf>
    <xf numFmtId="0" fontId="0" fillId="15" borderId="22" xfId="0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2" fillId="15" borderId="19" xfId="0" applyFont="1" applyFill="1" applyBorder="1" applyAlignment="1">
      <alignment/>
    </xf>
    <xf numFmtId="0" fontId="0" fillId="15" borderId="10" xfId="0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50" fillId="0" borderId="17" xfId="0" applyFont="1" applyFill="1" applyBorder="1" applyAlignment="1">
      <alignment horizontal="right"/>
    </xf>
    <xf numFmtId="0" fontId="50" fillId="0" borderId="18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33" borderId="26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11" fillId="15" borderId="10" xfId="0" applyFont="1" applyFill="1" applyBorder="1" applyAlignment="1">
      <alignment/>
    </xf>
    <xf numFmtId="0" fontId="4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26" xfId="0" applyFill="1" applyBorder="1" applyAlignment="1">
      <alignment/>
    </xf>
    <xf numFmtId="0" fontId="0" fillId="36" borderId="40" xfId="0" applyFill="1" applyBorder="1" applyAlignment="1">
      <alignment/>
    </xf>
    <xf numFmtId="14" fontId="0" fillId="36" borderId="41" xfId="0" applyNumberFormat="1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14" fontId="0" fillId="36" borderId="27" xfId="0" applyNumberFormat="1" applyFill="1" applyBorder="1" applyAlignment="1">
      <alignment/>
    </xf>
    <xf numFmtId="0" fontId="0" fillId="36" borderId="27" xfId="0" applyFill="1" applyBorder="1" applyAlignment="1">
      <alignment/>
    </xf>
    <xf numFmtId="0" fontId="40" fillId="36" borderId="45" xfId="0" applyFont="1" applyFill="1" applyBorder="1" applyAlignment="1">
      <alignment/>
    </xf>
    <xf numFmtId="0" fontId="0" fillId="36" borderId="46" xfId="0" applyFill="1" applyBorder="1" applyAlignment="1">
      <alignment horizontal="left"/>
    </xf>
    <xf numFmtId="0" fontId="0" fillId="36" borderId="47" xfId="0" applyFill="1" applyBorder="1" applyAlignment="1">
      <alignment horizontal="left"/>
    </xf>
    <xf numFmtId="0" fontId="0" fillId="36" borderId="48" xfId="0" applyFill="1" applyBorder="1" applyAlignment="1">
      <alignment/>
    </xf>
    <xf numFmtId="14" fontId="0" fillId="36" borderId="49" xfId="0" applyNumberFormat="1" applyFill="1" applyBorder="1" applyAlignment="1">
      <alignment horizontal="left"/>
    </xf>
    <xf numFmtId="14" fontId="0" fillId="36" borderId="35" xfId="0" applyNumberFormat="1" applyFill="1" applyBorder="1" applyAlignment="1">
      <alignment horizontal="left"/>
    </xf>
    <xf numFmtId="0" fontId="0" fillId="36" borderId="5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vertical="top"/>
    </xf>
    <xf numFmtId="0" fontId="0" fillId="36" borderId="1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30" xfId="0" applyFill="1" applyBorder="1" applyAlignment="1">
      <alignment/>
    </xf>
    <xf numFmtId="0" fontId="0" fillId="0" borderId="0" xfId="0" applyFont="1" applyAlignment="1">
      <alignment/>
    </xf>
    <xf numFmtId="0" fontId="0" fillId="15" borderId="24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25" xfId="0" applyFill="1" applyBorder="1" applyAlignment="1">
      <alignment/>
    </xf>
    <xf numFmtId="0" fontId="2" fillId="15" borderId="25" xfId="0" applyFont="1" applyFill="1" applyBorder="1" applyAlignment="1">
      <alignment/>
    </xf>
    <xf numFmtId="49" fontId="0" fillId="36" borderId="51" xfId="0" applyNumberFormat="1" applyFill="1" applyBorder="1" applyAlignment="1">
      <alignment/>
    </xf>
    <xf numFmtId="0" fontId="0" fillId="36" borderId="52" xfId="0" applyFill="1" applyBorder="1" applyAlignment="1">
      <alignment/>
    </xf>
    <xf numFmtId="0" fontId="0" fillId="14" borderId="25" xfId="0" applyFill="1" applyBorder="1" applyAlignment="1">
      <alignment/>
    </xf>
    <xf numFmtId="0" fontId="0" fillId="14" borderId="30" xfId="0" applyFill="1" applyBorder="1" applyAlignment="1">
      <alignment/>
    </xf>
    <xf numFmtId="49" fontId="0" fillId="36" borderId="51" xfId="0" applyNumberFormat="1" applyFill="1" applyBorder="1" applyAlignment="1">
      <alignment/>
    </xf>
    <xf numFmtId="0" fontId="0" fillId="36" borderId="5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P128"/>
  <sheetViews>
    <sheetView tabSelected="1" zoomScale="84" zoomScaleNormal="84" zoomScalePageLayoutView="0" workbookViewId="0" topLeftCell="A1">
      <selection activeCell="B1" sqref="B1"/>
    </sheetView>
  </sheetViews>
  <sheetFormatPr defaultColWidth="9.140625" defaultRowHeight="15"/>
  <cols>
    <col min="1" max="1" width="3.140625" style="0" customWidth="1"/>
    <col min="2" max="2" width="29.8515625" style="0" customWidth="1"/>
    <col min="3" max="3" width="14.421875" style="0" customWidth="1"/>
    <col min="4" max="4" width="10.140625" style="0" customWidth="1"/>
    <col min="5" max="5" width="6.57421875" style="0" customWidth="1"/>
    <col min="6" max="6" width="9.7109375" style="0" customWidth="1"/>
    <col min="7" max="7" width="6.57421875" style="0" customWidth="1"/>
    <col min="8" max="8" width="29.28125" style="0" customWidth="1"/>
    <col min="9" max="9" width="12.421875" style="0" customWidth="1"/>
    <col min="10" max="10" width="8.421875" style="0" customWidth="1"/>
    <col min="11" max="11" width="6.140625" style="0" customWidth="1"/>
    <col min="12" max="12" width="9.7109375" style="0" customWidth="1"/>
    <col min="13" max="13" width="3.8515625" style="0" customWidth="1"/>
    <col min="14" max="14" width="0.71875" style="0" hidden="1" customWidth="1"/>
    <col min="15" max="15" width="1.57421875" style="0" hidden="1" customWidth="1"/>
  </cols>
  <sheetData>
    <row r="1" spans="1:15" ht="27.75" customHeight="1" thickBot="1">
      <c r="A1" s="25"/>
      <c r="B1" s="221" t="s">
        <v>26</v>
      </c>
      <c r="G1" s="19"/>
      <c r="H1" s="222" t="str">
        <f>B1</f>
        <v>Бирюлевская ул., д. 5, корп.1 (магазин "Магнит")</v>
      </c>
      <c r="K1" s="28"/>
      <c r="L1" s="24"/>
      <c r="M1" s="9"/>
      <c r="N1" s="1"/>
      <c r="O1" s="1"/>
    </row>
    <row r="2" spans="1:15" ht="15.75" customHeight="1" thickBot="1">
      <c r="A2" s="26"/>
      <c r="B2" s="35" t="s">
        <v>1</v>
      </c>
      <c r="C2" s="36" t="s">
        <v>2</v>
      </c>
      <c r="D2" s="36" t="s">
        <v>75</v>
      </c>
      <c r="E2" s="175" t="s">
        <v>0</v>
      </c>
      <c r="F2" s="163"/>
      <c r="G2" s="4"/>
      <c r="H2" s="223" t="s">
        <v>27</v>
      </c>
      <c r="K2" s="4"/>
      <c r="L2" s="9"/>
      <c r="M2" s="9"/>
      <c r="N2" s="1"/>
      <c r="O2" s="1"/>
    </row>
    <row r="3" spans="1:15" ht="16.5" customHeight="1" thickBot="1">
      <c r="A3" s="26"/>
      <c r="B3" s="46" t="s">
        <v>31</v>
      </c>
      <c r="C3" s="57"/>
      <c r="D3" s="49"/>
      <c r="E3" s="176"/>
      <c r="F3" s="164"/>
      <c r="G3" s="4"/>
      <c r="H3" s="50" t="s">
        <v>31</v>
      </c>
      <c r="I3" s="67">
        <f aca="true" t="shared" si="0" ref="I3:I23">C3</f>
        <v>0</v>
      </c>
      <c r="J3" s="65"/>
      <c r="K3" s="186"/>
      <c r="L3" s="171"/>
      <c r="M3" s="9"/>
      <c r="N3" s="1"/>
      <c r="O3" s="1"/>
    </row>
    <row r="4" spans="2:15" ht="16.5" customHeight="1" thickBot="1">
      <c r="B4" s="46" t="s">
        <v>32</v>
      </c>
      <c r="C4" s="57"/>
      <c r="D4" s="49"/>
      <c r="E4" s="176"/>
      <c r="F4" s="164"/>
      <c r="G4" s="4"/>
      <c r="H4" s="46" t="s">
        <v>32</v>
      </c>
      <c r="I4" s="48">
        <f t="shared" si="0"/>
        <v>0</v>
      </c>
      <c r="J4" s="49"/>
      <c r="K4" s="176"/>
      <c r="L4" s="164"/>
      <c r="M4" s="9"/>
      <c r="N4" s="1"/>
      <c r="O4" s="1"/>
    </row>
    <row r="5" spans="2:15" ht="15.75" customHeight="1">
      <c r="B5" s="47" t="s">
        <v>33</v>
      </c>
      <c r="C5" s="48">
        <f>(C3+C4)*2</f>
        <v>0</v>
      </c>
      <c r="D5" s="49"/>
      <c r="E5" s="176"/>
      <c r="F5" s="164"/>
      <c r="H5" s="47" t="s">
        <v>33</v>
      </c>
      <c r="I5" s="48">
        <f t="shared" si="0"/>
        <v>0</v>
      </c>
      <c r="J5" s="49"/>
      <c r="K5" s="176"/>
      <c r="L5" s="164"/>
      <c r="M5" s="9"/>
      <c r="N5" s="1"/>
      <c r="O5" s="1"/>
    </row>
    <row r="6" spans="2:15" ht="14.25" customHeight="1" thickBot="1">
      <c r="B6" s="47" t="s">
        <v>34</v>
      </c>
      <c r="C6" s="48">
        <f>C3*C4</f>
        <v>0</v>
      </c>
      <c r="D6" s="49"/>
      <c r="E6" s="176"/>
      <c r="F6" s="164"/>
      <c r="H6" s="47" t="s">
        <v>34</v>
      </c>
      <c r="I6" s="64">
        <f t="shared" si="0"/>
        <v>0</v>
      </c>
      <c r="J6" s="49"/>
      <c r="K6" s="176"/>
      <c r="L6" s="164"/>
      <c r="M6" s="9"/>
      <c r="N6" s="1"/>
      <c r="O6" s="1"/>
    </row>
    <row r="7" spans="2:15" ht="15" customHeight="1" thickBot="1">
      <c r="B7" s="74" t="s">
        <v>78</v>
      </c>
      <c r="C7" s="69" t="s">
        <v>48</v>
      </c>
      <c r="D7" s="77">
        <f>IF(C7="да",C10*C9,0)</f>
        <v>0</v>
      </c>
      <c r="E7" s="177"/>
      <c r="F7" s="165"/>
      <c r="H7" s="136" t="s">
        <v>78</v>
      </c>
      <c r="I7" s="38" t="str">
        <f t="shared" si="0"/>
        <v>нет</v>
      </c>
      <c r="J7" s="82">
        <f>D7</f>
        <v>0</v>
      </c>
      <c r="K7" s="183"/>
      <c r="L7" s="168"/>
      <c r="M7" s="9"/>
      <c r="N7" s="1"/>
      <c r="O7" s="1"/>
    </row>
    <row r="8" spans="2:15" ht="16.5" customHeight="1" thickBot="1">
      <c r="B8" s="75" t="s">
        <v>37</v>
      </c>
      <c r="C8" s="57"/>
      <c r="D8" s="37"/>
      <c r="E8" s="178"/>
      <c r="F8" s="166"/>
      <c r="H8" s="33" t="s">
        <v>37</v>
      </c>
      <c r="I8" s="40">
        <f t="shared" si="0"/>
        <v>0</v>
      </c>
      <c r="J8" s="83"/>
      <c r="K8" s="184"/>
      <c r="L8" s="169"/>
      <c r="M8" s="9"/>
      <c r="N8" s="1"/>
      <c r="O8" s="1"/>
    </row>
    <row r="9" spans="2:15" ht="15.75" customHeight="1" thickBot="1">
      <c r="B9" s="75" t="s">
        <v>38</v>
      </c>
      <c r="C9" s="57">
        <v>0</v>
      </c>
      <c r="D9" s="37"/>
      <c r="E9" s="178"/>
      <c r="F9" s="166"/>
      <c r="H9" s="33" t="s">
        <v>38</v>
      </c>
      <c r="I9" s="40">
        <f t="shared" si="0"/>
        <v>0</v>
      </c>
      <c r="J9" s="83"/>
      <c r="K9" s="184"/>
      <c r="L9" s="169"/>
      <c r="M9" s="9"/>
      <c r="N9" s="1"/>
      <c r="O9" s="1"/>
    </row>
    <row r="10" spans="2:15" ht="18.75" customHeight="1">
      <c r="B10" s="76" t="s">
        <v>39</v>
      </c>
      <c r="C10" s="37">
        <f>IF(C7="да",C5+8*0.015,C5)</f>
        <v>0</v>
      </c>
      <c r="D10" s="37"/>
      <c r="E10" s="178"/>
      <c r="F10" s="166"/>
      <c r="G10" s="4"/>
      <c r="H10" s="34" t="s">
        <v>39</v>
      </c>
      <c r="I10" s="40">
        <f t="shared" si="0"/>
        <v>0</v>
      </c>
      <c r="J10" s="83"/>
      <c r="K10" s="184"/>
      <c r="L10" s="169"/>
      <c r="M10" s="9"/>
      <c r="N10" s="1"/>
      <c r="O10" s="1"/>
    </row>
    <row r="11" spans="1:15" ht="18.75" customHeight="1" thickBot="1">
      <c r="A11" s="26"/>
      <c r="B11" s="39" t="s">
        <v>40</v>
      </c>
      <c r="C11" s="39">
        <f>IF(C7="да",(C3+0.03)*(C4+0.03),C6)</f>
        <v>0</v>
      </c>
      <c r="D11" s="44"/>
      <c r="E11" s="179"/>
      <c r="F11" s="167"/>
      <c r="G11" s="4"/>
      <c r="H11" s="156" t="s">
        <v>40</v>
      </c>
      <c r="I11" s="44">
        <f t="shared" si="0"/>
        <v>0</v>
      </c>
      <c r="J11" s="84"/>
      <c r="K11" s="185"/>
      <c r="L11" s="170"/>
      <c r="M11" s="9"/>
      <c r="N11" s="1"/>
      <c r="O11" s="1"/>
    </row>
    <row r="12" spans="1:15" ht="17.25" customHeight="1" thickBot="1">
      <c r="A12" s="26"/>
      <c r="B12" s="46" t="s">
        <v>41</v>
      </c>
      <c r="C12" s="73"/>
      <c r="D12" s="49"/>
      <c r="E12" s="176"/>
      <c r="F12" s="164"/>
      <c r="G12" s="4"/>
      <c r="H12" s="50" t="s">
        <v>41</v>
      </c>
      <c r="I12" s="67">
        <f t="shared" si="0"/>
        <v>0</v>
      </c>
      <c r="J12" s="142"/>
      <c r="K12" s="190"/>
      <c r="L12" s="171"/>
      <c r="M12" s="9"/>
      <c r="N12" s="1"/>
      <c r="O12" s="1"/>
    </row>
    <row r="13" spans="1:15" ht="15" customHeight="1">
      <c r="A13" s="26"/>
      <c r="B13" s="51" t="s">
        <v>42</v>
      </c>
      <c r="C13" s="48">
        <f>C10+8*C12</f>
        <v>0</v>
      </c>
      <c r="D13" s="49"/>
      <c r="E13" s="176"/>
      <c r="F13" s="164"/>
      <c r="G13" s="4"/>
      <c r="H13" s="51" t="s">
        <v>42</v>
      </c>
      <c r="I13" s="48">
        <f t="shared" si="0"/>
        <v>0</v>
      </c>
      <c r="J13" s="143"/>
      <c r="K13" s="191"/>
      <c r="L13" s="164"/>
      <c r="M13" s="9"/>
      <c r="N13" s="1"/>
      <c r="O13" s="1"/>
    </row>
    <row r="14" spans="1:15" ht="18.75" customHeight="1">
      <c r="A14" s="26"/>
      <c r="B14" s="47" t="s">
        <v>60</v>
      </c>
      <c r="C14" s="48">
        <f>IF(C7="да",(C3+0.03+C12*2)*(C4+0.03+C12*2),(C3+2*C12)*(C4+2*C12))</f>
        <v>0</v>
      </c>
      <c r="D14" s="49"/>
      <c r="E14" s="176"/>
      <c r="F14" s="164"/>
      <c r="G14" s="4"/>
      <c r="H14" s="47" t="s">
        <v>60</v>
      </c>
      <c r="I14" s="48">
        <f t="shared" si="0"/>
        <v>0</v>
      </c>
      <c r="J14" s="143"/>
      <c r="K14" s="191"/>
      <c r="L14" s="164"/>
      <c r="M14" s="9"/>
      <c r="N14" s="1"/>
      <c r="O14" s="1"/>
    </row>
    <row r="15" spans="1:15" ht="18" customHeight="1">
      <c r="A15" s="26"/>
      <c r="B15" s="51" t="s">
        <v>66</v>
      </c>
      <c r="C15" s="145" t="s">
        <v>47</v>
      </c>
      <c r="D15" s="59">
        <f>IF(C15=1,C14*E15,IF(C15=2,C14*E15*2,IF(C15=3,C14*3*E15,IF(C15=4,C14*4*E15,0))))</f>
        <v>0</v>
      </c>
      <c r="E15" s="176">
        <v>1200</v>
      </c>
      <c r="F15" s="164" t="s">
        <v>63</v>
      </c>
      <c r="G15" s="4"/>
      <c r="H15" s="51" t="s">
        <v>66</v>
      </c>
      <c r="I15" s="48" t="str">
        <f t="shared" si="0"/>
        <v>Нет</v>
      </c>
      <c r="J15" s="143">
        <f>D15</f>
        <v>0</v>
      </c>
      <c r="K15" s="191">
        <f>E15</f>
        <v>1200</v>
      </c>
      <c r="L15" s="164" t="s">
        <v>63</v>
      </c>
      <c r="M15" s="9"/>
      <c r="N15" s="1"/>
      <c r="O15" s="1"/>
    </row>
    <row r="16" spans="1:15" ht="18.75" customHeight="1" thickBot="1">
      <c r="A16" s="26"/>
      <c r="B16" s="51" t="s">
        <v>65</v>
      </c>
      <c r="C16" s="145" t="s">
        <v>47</v>
      </c>
      <c r="D16" s="59">
        <f>IF(C16=1,C14*E16,IF(C16=2,C14*E16*2,IF(C16=3,C14*3*E16,IF(C16=4,C14*4*E16,0))))</f>
        <v>0</v>
      </c>
      <c r="E16" s="176">
        <v>2000</v>
      </c>
      <c r="F16" s="164" t="s">
        <v>63</v>
      </c>
      <c r="G16" s="4"/>
      <c r="H16" s="51" t="s">
        <v>65</v>
      </c>
      <c r="I16" s="48" t="str">
        <f t="shared" si="0"/>
        <v>Нет</v>
      </c>
      <c r="J16" s="143">
        <f>D16</f>
        <v>0</v>
      </c>
      <c r="K16" s="191">
        <f>E16</f>
        <v>2000</v>
      </c>
      <c r="L16" s="164" t="s">
        <v>63</v>
      </c>
      <c r="M16" s="9"/>
      <c r="N16" s="1"/>
      <c r="O16" s="1"/>
    </row>
    <row r="17" spans="1:15" ht="17.25" customHeight="1" thickBot="1">
      <c r="A17" s="26"/>
      <c r="B17" s="52" t="s">
        <v>22</v>
      </c>
      <c r="C17" s="69"/>
      <c r="D17" s="49"/>
      <c r="E17" s="176"/>
      <c r="F17" s="164"/>
      <c r="G17" s="4"/>
      <c r="H17" s="53" t="s">
        <v>22</v>
      </c>
      <c r="I17" s="64">
        <f t="shared" si="0"/>
        <v>0</v>
      </c>
      <c r="J17" s="144"/>
      <c r="K17" s="192"/>
      <c r="L17" s="172"/>
      <c r="M17" s="9"/>
      <c r="N17" s="1"/>
      <c r="O17" s="1"/>
    </row>
    <row r="18" spans="1:15" ht="15" customHeight="1" thickBot="1">
      <c r="A18" s="26"/>
      <c r="B18" s="29" t="s">
        <v>64</v>
      </c>
      <c r="C18" s="146" t="s">
        <v>48</v>
      </c>
      <c r="D18" s="60">
        <f>IF(C18="да",(C5+0.032)*E18,0)</f>
        <v>0</v>
      </c>
      <c r="E18" s="180">
        <v>150</v>
      </c>
      <c r="F18" s="165" t="s">
        <v>62</v>
      </c>
      <c r="G18" s="4"/>
      <c r="H18" s="29" t="s">
        <v>64</v>
      </c>
      <c r="I18" s="42" t="str">
        <f t="shared" si="0"/>
        <v>нет</v>
      </c>
      <c r="J18" s="157">
        <f aca="true" t="shared" si="1" ref="J18:J23">D18</f>
        <v>0</v>
      </c>
      <c r="K18" s="180">
        <f aca="true" t="shared" si="2" ref="K18:K24">E18</f>
        <v>150</v>
      </c>
      <c r="L18" s="168" t="s">
        <v>62</v>
      </c>
      <c r="M18" s="9"/>
      <c r="N18" s="1"/>
      <c r="O18" s="1"/>
    </row>
    <row r="19" spans="1:15" ht="18" customHeight="1" thickBot="1">
      <c r="A19" s="26"/>
      <c r="B19" s="30" t="s">
        <v>67</v>
      </c>
      <c r="C19" s="147" t="s">
        <v>48</v>
      </c>
      <c r="D19" s="61">
        <f>IF(C19="да",(C5+0.032)*E19,0)</f>
        <v>0</v>
      </c>
      <c r="E19" s="181">
        <v>200</v>
      </c>
      <c r="F19" s="166" t="s">
        <v>62</v>
      </c>
      <c r="G19" s="4"/>
      <c r="H19" s="30" t="s">
        <v>67</v>
      </c>
      <c r="I19" s="42" t="str">
        <f t="shared" si="0"/>
        <v>нет</v>
      </c>
      <c r="J19" s="12">
        <f t="shared" si="1"/>
        <v>0</v>
      </c>
      <c r="K19" s="180">
        <f t="shared" si="2"/>
        <v>200</v>
      </c>
      <c r="L19" s="169" t="s">
        <v>62</v>
      </c>
      <c r="M19" s="9"/>
      <c r="N19" s="1"/>
      <c r="O19" s="1"/>
    </row>
    <row r="20" spans="1:15" ht="15" customHeight="1" thickBot="1">
      <c r="A20" s="26"/>
      <c r="B20" s="30" t="s">
        <v>68</v>
      </c>
      <c r="C20" s="147" t="s">
        <v>48</v>
      </c>
      <c r="D20" s="61">
        <f>IF(C20="да",(C5+0.032)*E20,0)</f>
        <v>0</v>
      </c>
      <c r="E20" s="181">
        <v>100</v>
      </c>
      <c r="F20" s="166" t="s">
        <v>62</v>
      </c>
      <c r="G20" s="4"/>
      <c r="H20" s="30" t="s">
        <v>68</v>
      </c>
      <c r="I20" s="42" t="str">
        <f t="shared" si="0"/>
        <v>нет</v>
      </c>
      <c r="J20" s="12">
        <f t="shared" si="1"/>
        <v>0</v>
      </c>
      <c r="K20" s="180">
        <f t="shared" si="2"/>
        <v>100</v>
      </c>
      <c r="L20" s="169" t="s">
        <v>62</v>
      </c>
      <c r="M20" s="9"/>
      <c r="N20" s="1"/>
      <c r="O20" s="1"/>
    </row>
    <row r="21" spans="1:15" ht="15.75" customHeight="1" thickBot="1">
      <c r="A21" s="26"/>
      <c r="B21" s="30" t="s">
        <v>69</v>
      </c>
      <c r="C21" s="147" t="s">
        <v>48</v>
      </c>
      <c r="D21" s="61">
        <f>IF(C21="да",C5*E21,0)</f>
        <v>0</v>
      </c>
      <c r="E21" s="181">
        <v>30</v>
      </c>
      <c r="F21" s="166" t="s">
        <v>62</v>
      </c>
      <c r="G21" s="4"/>
      <c r="H21" s="30" t="s">
        <v>69</v>
      </c>
      <c r="I21" s="42" t="str">
        <f t="shared" si="0"/>
        <v>нет</v>
      </c>
      <c r="J21" s="12">
        <f t="shared" si="1"/>
        <v>0</v>
      </c>
      <c r="K21" s="180">
        <f t="shared" si="2"/>
        <v>30</v>
      </c>
      <c r="L21" s="169" t="s">
        <v>62</v>
      </c>
      <c r="M21" s="9"/>
      <c r="N21" s="1"/>
      <c r="O21" s="1"/>
    </row>
    <row r="22" spans="1:15" ht="17.25" customHeight="1" thickBot="1">
      <c r="A22" s="26"/>
      <c r="B22" s="30" t="s">
        <v>70</v>
      </c>
      <c r="C22" s="147" t="s">
        <v>48</v>
      </c>
      <c r="D22" s="61">
        <f>IF(C22="да",(C3+0.008)*(C4+0.008)*E22,0)</f>
        <v>0</v>
      </c>
      <c r="E22" s="181">
        <v>1200</v>
      </c>
      <c r="F22" s="166" t="s">
        <v>63</v>
      </c>
      <c r="G22" s="4"/>
      <c r="H22" s="30" t="s">
        <v>70</v>
      </c>
      <c r="I22" s="42" t="str">
        <f t="shared" si="0"/>
        <v>нет</v>
      </c>
      <c r="J22" s="12">
        <f t="shared" si="1"/>
        <v>0</v>
      </c>
      <c r="K22" s="180">
        <f t="shared" si="2"/>
        <v>1200</v>
      </c>
      <c r="L22" s="169" t="s">
        <v>63</v>
      </c>
      <c r="M22" s="9"/>
      <c r="N22" s="1"/>
      <c r="O22" s="1"/>
    </row>
    <row r="23" spans="1:15" ht="15.75" customHeight="1" thickBot="1">
      <c r="A23" s="26"/>
      <c r="B23" s="32" t="s">
        <v>13</v>
      </c>
      <c r="C23" s="148" t="s">
        <v>48</v>
      </c>
      <c r="D23" s="62">
        <f>IF(C23="да",C5*E23,0)</f>
        <v>0</v>
      </c>
      <c r="E23" s="182">
        <v>1500</v>
      </c>
      <c r="F23" s="167" t="s">
        <v>63</v>
      </c>
      <c r="G23" s="4"/>
      <c r="H23" s="32" t="s">
        <v>13</v>
      </c>
      <c r="I23" s="43" t="str">
        <f t="shared" si="0"/>
        <v>нет</v>
      </c>
      <c r="J23" s="158">
        <f t="shared" si="1"/>
        <v>0</v>
      </c>
      <c r="K23" s="180">
        <f t="shared" si="2"/>
        <v>1500</v>
      </c>
      <c r="L23" s="170" t="s">
        <v>63</v>
      </c>
      <c r="M23" s="9"/>
      <c r="N23" s="1"/>
      <c r="O23" s="1"/>
    </row>
    <row r="24" spans="1:15" ht="15.75" customHeight="1">
      <c r="A24" s="26"/>
      <c r="B24" s="54" t="s">
        <v>43</v>
      </c>
      <c r="C24" s="147" t="s">
        <v>48</v>
      </c>
      <c r="D24" s="59">
        <f>IF(C24="да",C27*C26,0)</f>
        <v>0</v>
      </c>
      <c r="E24" s="176">
        <v>200</v>
      </c>
      <c r="F24" s="164" t="s">
        <v>62</v>
      </c>
      <c r="G24" s="4"/>
      <c r="H24" s="51" t="s">
        <v>43</v>
      </c>
      <c r="I24" s="80" t="s">
        <v>48</v>
      </c>
      <c r="J24" s="49">
        <f>IF(I24="да",I27*I26,0)</f>
        <v>0</v>
      </c>
      <c r="K24" s="176">
        <f t="shared" si="2"/>
        <v>200</v>
      </c>
      <c r="L24" s="164" t="s">
        <v>62</v>
      </c>
      <c r="M24" s="9"/>
      <c r="N24" s="1"/>
      <c r="O24" s="1"/>
    </row>
    <row r="25" spans="1:15" ht="17.25" customHeight="1">
      <c r="A25" s="26"/>
      <c r="B25" s="51" t="s">
        <v>37</v>
      </c>
      <c r="C25" s="145"/>
      <c r="D25" s="49"/>
      <c r="E25" s="176"/>
      <c r="F25" s="164"/>
      <c r="G25" s="4"/>
      <c r="H25" s="51" t="s">
        <v>37</v>
      </c>
      <c r="I25" s="48"/>
      <c r="J25" s="49"/>
      <c r="K25" s="176"/>
      <c r="L25" s="164"/>
      <c r="M25" s="20"/>
      <c r="N25" s="1"/>
      <c r="O25" s="1"/>
    </row>
    <row r="26" spans="1:15" ht="15.75" customHeight="1">
      <c r="A26" s="26"/>
      <c r="B26" s="51" t="s">
        <v>38</v>
      </c>
      <c r="C26" s="145"/>
      <c r="D26" s="49"/>
      <c r="E26" s="176"/>
      <c r="F26" s="164"/>
      <c r="G26" s="4"/>
      <c r="H26" s="51" t="s">
        <v>38</v>
      </c>
      <c r="I26" s="48"/>
      <c r="J26" s="49"/>
      <c r="K26" s="176"/>
      <c r="L26" s="164"/>
      <c r="M26" s="20"/>
      <c r="N26" s="2"/>
      <c r="O26" s="1"/>
    </row>
    <row r="27" spans="1:15" ht="17.25" customHeight="1">
      <c r="A27" s="26"/>
      <c r="B27" s="51" t="s">
        <v>44</v>
      </c>
      <c r="C27" s="48">
        <f>IF(C24="да",C13+8*0.015,C13)</f>
        <v>0</v>
      </c>
      <c r="D27" s="49"/>
      <c r="E27" s="176"/>
      <c r="F27" s="164"/>
      <c r="G27" s="4"/>
      <c r="H27" s="51" t="s">
        <v>44</v>
      </c>
      <c r="I27" s="48">
        <f>IF(I24="да",I13+8*0.015,I13)</f>
        <v>0</v>
      </c>
      <c r="J27" s="49"/>
      <c r="K27" s="176"/>
      <c r="L27" s="164"/>
      <c r="M27" s="20"/>
      <c r="N27" s="2"/>
      <c r="O27" s="1"/>
    </row>
    <row r="28" spans="1:15" ht="19.5" customHeight="1" thickBot="1">
      <c r="A28" s="26"/>
      <c r="B28" s="51" t="s">
        <v>45</v>
      </c>
      <c r="C28" s="48">
        <f>IF(AND(C7="да",C24="да"),(C3+0.06+2*C12)*(C4+0.06+2*C12),IF(OR(C7="да",C24="да"),(C3+0.03+2*C12)*(C4+0.03+2*C12),(C3+2*C12)*(C4+2*C12)))</f>
        <v>0</v>
      </c>
      <c r="D28" s="49"/>
      <c r="E28" s="176"/>
      <c r="F28" s="164"/>
      <c r="G28" s="4"/>
      <c r="H28" s="51" t="s">
        <v>45</v>
      </c>
      <c r="I28" s="48">
        <f>IF(AND(I7="да",I24="да"),(I3+0.06+2*I12)*(I4+0.06+2*I12),IF(OR(I7="да",I24="да"),(I3+0.03+2*I12)*(I4+0.03+2*I12),(I3+2*I12)*(I4+2*I12)))</f>
        <v>0</v>
      </c>
      <c r="J28" s="49"/>
      <c r="K28" s="176"/>
      <c r="L28" s="164"/>
      <c r="M28" s="20"/>
      <c r="N28" s="2"/>
      <c r="O28" s="1"/>
    </row>
    <row r="29" spans="1:15" ht="15.75" thickBot="1">
      <c r="A29" s="26"/>
      <c r="B29" s="29" t="s">
        <v>21</v>
      </c>
      <c r="C29" s="70"/>
      <c r="D29" s="95"/>
      <c r="E29" s="183"/>
      <c r="F29" s="168"/>
      <c r="G29" s="4"/>
      <c r="H29" s="29" t="s">
        <v>21</v>
      </c>
      <c r="I29" s="41">
        <f>C29</f>
        <v>0</v>
      </c>
      <c r="J29" s="95"/>
      <c r="K29" s="183"/>
      <c r="L29" s="168"/>
      <c r="M29" s="20"/>
      <c r="N29" s="2"/>
      <c r="O29" s="1"/>
    </row>
    <row r="30" spans="1:15" ht="15.75" thickBot="1">
      <c r="A30" s="26"/>
      <c r="B30" s="30" t="s">
        <v>50</v>
      </c>
      <c r="C30" s="57"/>
      <c r="D30" s="59">
        <f>IF(C30=0,0,IF(C30&lt;0.02,150,IF(C30&lt;0.04,200,IF(C30&gt;=0.04,300))))</f>
        <v>0</v>
      </c>
      <c r="E30" s="184"/>
      <c r="F30" s="169"/>
      <c r="G30" s="4"/>
      <c r="H30" s="30" t="s">
        <v>50</v>
      </c>
      <c r="I30" s="40">
        <f>C30</f>
        <v>0</v>
      </c>
      <c r="J30" s="31">
        <f>D30</f>
        <v>0</v>
      </c>
      <c r="K30" s="184"/>
      <c r="L30" s="169"/>
      <c r="M30" s="20"/>
      <c r="N30" s="2"/>
      <c r="O30" s="1"/>
    </row>
    <row r="31" spans="1:15" ht="15.75" thickBot="1">
      <c r="A31" s="26"/>
      <c r="B31" s="30" t="s">
        <v>4</v>
      </c>
      <c r="C31" s="57"/>
      <c r="D31" s="31"/>
      <c r="E31" s="184"/>
      <c r="F31" s="169"/>
      <c r="G31" s="4"/>
      <c r="H31" s="30" t="s">
        <v>4</v>
      </c>
      <c r="I31" s="40">
        <f>C31</f>
        <v>0</v>
      </c>
      <c r="J31" s="31"/>
      <c r="K31" s="184"/>
      <c r="L31" s="169"/>
      <c r="M31" s="9"/>
      <c r="N31" s="2"/>
      <c r="O31" s="1"/>
    </row>
    <row r="32" spans="1:15" ht="15" customHeight="1">
      <c r="A32" s="26"/>
      <c r="B32" s="34" t="s">
        <v>51</v>
      </c>
      <c r="C32" s="40">
        <f>C27+C30*8</f>
        <v>0</v>
      </c>
      <c r="D32" s="59">
        <f>C32*C31</f>
        <v>0</v>
      </c>
      <c r="E32" s="184"/>
      <c r="F32" s="169"/>
      <c r="G32" s="4"/>
      <c r="H32" s="34" t="s">
        <v>51</v>
      </c>
      <c r="I32" s="40">
        <f>C32</f>
        <v>0</v>
      </c>
      <c r="J32" s="31">
        <f>D32</f>
        <v>0</v>
      </c>
      <c r="K32" s="184"/>
      <c r="L32" s="169"/>
      <c r="M32" s="9"/>
      <c r="N32" s="2"/>
      <c r="O32" s="1"/>
    </row>
    <row r="33" spans="1:15" ht="17.25" customHeight="1" thickBot="1">
      <c r="A33" s="26"/>
      <c r="B33" s="27" t="s">
        <v>46</v>
      </c>
      <c r="C33" s="44">
        <f>IF(AND(C7="да",C24="да"),(C3+0.06+2*C12+2*C30)*(C4+0.06+2*C12+2*C30),IF(OR(C7="да",C24="да"),(C3+0.03+2*C12+2*C30)*(C4+0.03+2*C12+2*C30),(C3+2*C12+2*C30)*(C4+2*C12+2*C30)))</f>
        <v>0</v>
      </c>
      <c r="D33" s="130"/>
      <c r="E33" s="185"/>
      <c r="F33" s="170"/>
      <c r="G33" s="4"/>
      <c r="H33" s="27" t="s">
        <v>46</v>
      </c>
      <c r="I33" s="44">
        <f>C33</f>
        <v>0</v>
      </c>
      <c r="J33" s="130"/>
      <c r="K33" s="185"/>
      <c r="L33" s="170"/>
      <c r="M33" s="9"/>
      <c r="N33" s="1"/>
      <c r="O33" s="1"/>
    </row>
    <row r="34" spans="1:15" ht="18.75" customHeight="1" thickBot="1">
      <c r="A34" s="26"/>
      <c r="B34" s="50" t="s">
        <v>61</v>
      </c>
      <c r="C34" s="149" t="s">
        <v>48</v>
      </c>
      <c r="D34" s="135"/>
      <c r="E34" s="186"/>
      <c r="F34" s="171"/>
      <c r="G34" s="4"/>
      <c r="H34" s="50" t="s">
        <v>61</v>
      </c>
      <c r="I34" s="81" t="s">
        <v>48</v>
      </c>
      <c r="J34" s="135"/>
      <c r="K34" s="186"/>
      <c r="L34" s="171"/>
      <c r="N34" s="1"/>
      <c r="O34" s="1"/>
    </row>
    <row r="35" spans="1:15" ht="18.75" customHeight="1" thickBot="1">
      <c r="A35" s="26"/>
      <c r="B35" s="46" t="s">
        <v>57</v>
      </c>
      <c r="C35" s="70"/>
      <c r="D35" s="49"/>
      <c r="E35" s="176"/>
      <c r="F35" s="164"/>
      <c r="G35" s="4"/>
      <c r="H35" s="46" t="s">
        <v>57</v>
      </c>
      <c r="I35" s="79"/>
      <c r="J35" s="49"/>
      <c r="K35" s="176"/>
      <c r="L35" s="164"/>
      <c r="N35" s="1"/>
      <c r="O35" s="1"/>
    </row>
    <row r="36" spans="1:12" ht="18.75" customHeight="1" thickBot="1">
      <c r="A36" s="26"/>
      <c r="B36" s="46" t="s">
        <v>58</v>
      </c>
      <c r="C36" s="57"/>
      <c r="D36" s="49"/>
      <c r="E36" s="176"/>
      <c r="F36" s="164"/>
      <c r="G36" s="4"/>
      <c r="H36" s="46" t="s">
        <v>58</v>
      </c>
      <c r="I36" s="56"/>
      <c r="J36" s="49"/>
      <c r="K36" s="176"/>
      <c r="L36" s="164"/>
    </row>
    <row r="37" spans="1:12" ht="18.75" customHeight="1" thickBot="1">
      <c r="A37" s="26"/>
      <c r="B37" s="46" t="s">
        <v>59</v>
      </c>
      <c r="C37" s="57"/>
      <c r="D37" s="49"/>
      <c r="E37" s="176"/>
      <c r="F37" s="164"/>
      <c r="G37" s="4"/>
      <c r="H37" s="46" t="s">
        <v>59</v>
      </c>
      <c r="I37" s="56"/>
      <c r="J37" s="49"/>
      <c r="K37" s="176"/>
      <c r="L37" s="164"/>
    </row>
    <row r="38" spans="1:12" ht="20.25" customHeight="1">
      <c r="A38" s="26"/>
      <c r="B38" s="47" t="s">
        <v>51</v>
      </c>
      <c r="C38" s="48">
        <f>C32+C36*8</f>
        <v>0</v>
      </c>
      <c r="D38" s="59">
        <f>C38*C37</f>
        <v>0</v>
      </c>
      <c r="E38" s="176"/>
      <c r="F38" s="164"/>
      <c r="G38" s="4"/>
      <c r="H38" s="47" t="s">
        <v>51</v>
      </c>
      <c r="I38" s="48">
        <f>I32+I36*8</f>
        <v>0</v>
      </c>
      <c r="J38" s="49">
        <f>I38*I37</f>
        <v>0</v>
      </c>
      <c r="K38" s="176"/>
      <c r="L38" s="164"/>
    </row>
    <row r="39" spans="1:12" ht="19.5" customHeight="1" thickBot="1">
      <c r="A39" s="26"/>
      <c r="B39" s="53" t="s">
        <v>46</v>
      </c>
      <c r="C39" s="64">
        <f>IF(AND(C7="да",C24="да"),(C3+0.06+2*C12+2*C30+2*C36)*(C4+0.06+2*C12+2*C30+2*C36),IF(OR(C7="да",C24="да"),(C3+0.03+2*C12+2*C30+2*C36)*(C4+0.03+2*C12+2*C30+2*C36),(C3+2*C12+2*C30+2*C36)*(C4+2*C12+2*C30+2*C36)))</f>
        <v>0</v>
      </c>
      <c r="D39" s="66"/>
      <c r="E39" s="187"/>
      <c r="F39" s="172"/>
      <c r="H39" s="53" t="s">
        <v>46</v>
      </c>
      <c r="I39" s="64">
        <f>IF(AND(I7="да",I24="да"),(I3+0.06+2*I12+2*I30+2*I36)*(I4+0.06+2*I12+2*I30+2*I36),IF(OR(I7="да",I24="да"),(I3+0.03+2*I12+2*I30+2*I36)*(I4+0.03+2*I12+2*I30+2*I36),(I3+2*I12+2*I30+2*I36)*(I4+2*I12+2*I30+2*I36)))</f>
        <v>0</v>
      </c>
      <c r="J39" s="66"/>
      <c r="K39" s="187"/>
      <c r="L39" s="172"/>
    </row>
    <row r="40" spans="2:12" ht="18.75" customHeight="1" thickBot="1">
      <c r="B40" s="136" t="s">
        <v>71</v>
      </c>
      <c r="C40" s="69" t="s">
        <v>48</v>
      </c>
      <c r="D40" s="58">
        <f>IF(AND(C34="да",C40="да"),C33*E40,IF(C40="да",C28*E40,0))</f>
        <v>0</v>
      </c>
      <c r="E40" s="183">
        <v>1200</v>
      </c>
      <c r="F40" s="168" t="s">
        <v>63</v>
      </c>
      <c r="H40" s="136" t="s">
        <v>71</v>
      </c>
      <c r="I40" s="38" t="str">
        <f>C40</f>
        <v>нет</v>
      </c>
      <c r="J40" s="95">
        <f>D40</f>
        <v>0</v>
      </c>
      <c r="K40" s="183">
        <f>E40</f>
        <v>1200</v>
      </c>
      <c r="L40" s="168" t="s">
        <v>63</v>
      </c>
    </row>
    <row r="41" spans="2:12" ht="15" customHeight="1" thickBot="1">
      <c r="B41" s="33" t="s">
        <v>72</v>
      </c>
      <c r="C41" s="145" t="s">
        <v>48</v>
      </c>
      <c r="D41" s="59">
        <f>IF(AND(C34="да",C41="да"),C33*E41,IF(C41="да",C28*E41,0))</f>
        <v>0</v>
      </c>
      <c r="E41" s="184">
        <v>1500</v>
      </c>
      <c r="F41" s="169" t="s">
        <v>63</v>
      </c>
      <c r="H41" s="33" t="s">
        <v>72</v>
      </c>
      <c r="I41" s="40" t="s">
        <v>48</v>
      </c>
      <c r="J41" s="31">
        <f aca="true" t="shared" si="3" ref="J41:J47">D41</f>
        <v>0</v>
      </c>
      <c r="K41" s="183">
        <f aca="true" t="shared" si="4" ref="K41:K48">E41</f>
        <v>1500</v>
      </c>
      <c r="L41" s="169" t="s">
        <v>63</v>
      </c>
    </row>
    <row r="42" spans="2:12" ht="18.75" customHeight="1" thickBot="1">
      <c r="B42" s="33" t="s">
        <v>73</v>
      </c>
      <c r="C42" s="145" t="s">
        <v>48</v>
      </c>
      <c r="D42" s="59">
        <f>IF(AND(C34="да",C42="да"),C33*E42,IF(C42="да",C28*E42,0))</f>
        <v>0</v>
      </c>
      <c r="E42" s="184">
        <v>2500</v>
      </c>
      <c r="F42" s="169" t="s">
        <v>63</v>
      </c>
      <c r="H42" s="33" t="s">
        <v>73</v>
      </c>
      <c r="I42" s="40" t="str">
        <f>C42</f>
        <v>нет</v>
      </c>
      <c r="J42" s="31">
        <f t="shared" si="3"/>
        <v>0</v>
      </c>
      <c r="K42" s="183">
        <f t="shared" si="4"/>
        <v>2500</v>
      </c>
      <c r="L42" s="169" t="s">
        <v>63</v>
      </c>
    </row>
    <row r="43" spans="2:12" ht="19.5" customHeight="1" thickBot="1">
      <c r="B43" s="32" t="s">
        <v>36</v>
      </c>
      <c r="C43" s="73" t="s">
        <v>48</v>
      </c>
      <c r="D43" s="59">
        <f>IF(AND(C34="да",C43="да"),C33*E43,IF(C43="да",C28*E43,0))</f>
        <v>0</v>
      </c>
      <c r="E43" s="184">
        <v>12000</v>
      </c>
      <c r="F43" s="169" t="s">
        <v>63</v>
      </c>
      <c r="H43" s="32" t="s">
        <v>36</v>
      </c>
      <c r="I43" s="44" t="str">
        <f>C43</f>
        <v>нет</v>
      </c>
      <c r="J43" s="130">
        <f t="shared" si="3"/>
        <v>0</v>
      </c>
      <c r="K43" s="183">
        <f t="shared" si="4"/>
        <v>12000</v>
      </c>
      <c r="L43" s="170" t="s">
        <v>63</v>
      </c>
    </row>
    <row r="44" spans="2:12" ht="15" customHeight="1">
      <c r="B44" s="153" t="s">
        <v>74</v>
      </c>
      <c r="C44" s="150" t="s">
        <v>47</v>
      </c>
      <c r="D44" s="132">
        <f>IF(C44=1,C28*E44,IF(C44=2,C28*E44*2,IF(C44=3,C28*E44*3,IF(C44=4,C28*E44*4,IF(C44=5,C28*E44*5,0)))))</f>
        <v>0</v>
      </c>
      <c r="E44" s="186">
        <v>600</v>
      </c>
      <c r="F44" s="171" t="s">
        <v>63</v>
      </c>
      <c r="H44" s="153" t="s">
        <v>74</v>
      </c>
      <c r="I44" s="49" t="str">
        <f>C44</f>
        <v>Нет</v>
      </c>
      <c r="J44" s="67">
        <f t="shared" si="3"/>
        <v>0</v>
      </c>
      <c r="K44" s="191">
        <f t="shared" si="4"/>
        <v>600</v>
      </c>
      <c r="L44" s="164" t="s">
        <v>63</v>
      </c>
    </row>
    <row r="45" spans="2:12" ht="15.75" customHeight="1">
      <c r="B45" s="129" t="s">
        <v>98</v>
      </c>
      <c r="C45" s="150" t="s">
        <v>47</v>
      </c>
      <c r="D45" s="133">
        <f>IF(C45=1,C28*E45,IF(C45=2,C28*E45*2,IF(C45=3,C28*E45*3,IF(C45=4,C28*E45*4,IF(C45=5,C28*E45*5,0)))))</f>
        <v>0</v>
      </c>
      <c r="E45" s="176">
        <v>1500</v>
      </c>
      <c r="F45" s="164" t="s">
        <v>63</v>
      </c>
      <c r="H45" s="129" t="s">
        <v>98</v>
      </c>
      <c r="I45" s="48" t="str">
        <f>C45</f>
        <v>Нет</v>
      </c>
      <c r="J45" s="159">
        <f t="shared" si="3"/>
        <v>0</v>
      </c>
      <c r="K45" s="191">
        <f t="shared" si="4"/>
        <v>1500</v>
      </c>
      <c r="L45" s="164" t="s">
        <v>63</v>
      </c>
    </row>
    <row r="46" spans="1:12" ht="15.75" thickBot="1">
      <c r="A46" s="19"/>
      <c r="B46" s="154" t="s">
        <v>35</v>
      </c>
      <c r="C46" s="150" t="s">
        <v>47</v>
      </c>
      <c r="D46" s="133">
        <f>IF(C46=1,C28*1000,IF(C46=2,C28*1000*2,IF(C46=3,C28*1000*3,IF(C46=4,C28*1000*4,IF(C46=5,C28*1000*5,0)))))</f>
        <v>0</v>
      </c>
      <c r="E46" s="176">
        <v>1000</v>
      </c>
      <c r="F46" s="164" t="s">
        <v>63</v>
      </c>
      <c r="H46" s="154" t="s">
        <v>35</v>
      </c>
      <c r="I46" s="66" t="s">
        <v>48</v>
      </c>
      <c r="J46" s="48">
        <f t="shared" si="3"/>
        <v>0</v>
      </c>
      <c r="K46" s="191">
        <f t="shared" si="4"/>
        <v>1000</v>
      </c>
      <c r="L46" s="164" t="s">
        <v>63</v>
      </c>
    </row>
    <row r="47" spans="1:12" ht="16.5" customHeight="1" thickBot="1">
      <c r="A47" s="19"/>
      <c r="B47" s="137" t="s">
        <v>88</v>
      </c>
      <c r="C47" s="151" t="s">
        <v>48</v>
      </c>
      <c r="D47" s="134">
        <f>IF(C47="да",250,0)</f>
        <v>0</v>
      </c>
      <c r="E47" s="188">
        <v>250</v>
      </c>
      <c r="F47" s="173" t="s">
        <v>89</v>
      </c>
      <c r="H47" s="137" t="str">
        <f>B47</f>
        <v>Лакировка</v>
      </c>
      <c r="I47" s="140" t="str">
        <f>C47</f>
        <v>нет</v>
      </c>
      <c r="J47" s="45">
        <f t="shared" si="3"/>
        <v>0</v>
      </c>
      <c r="K47" s="191">
        <f t="shared" si="4"/>
        <v>250</v>
      </c>
      <c r="L47" s="173" t="s">
        <v>89</v>
      </c>
    </row>
    <row r="48" spans="1:12" ht="15.75" thickBot="1">
      <c r="A48" s="19"/>
      <c r="B48" s="55" t="s">
        <v>56</v>
      </c>
      <c r="C48" s="57" t="s">
        <v>48</v>
      </c>
      <c r="D48" s="63">
        <f>IF(C48="да",500,0)</f>
        <v>0</v>
      </c>
      <c r="E48" s="189">
        <v>500</v>
      </c>
      <c r="F48" s="174" t="s">
        <v>85</v>
      </c>
      <c r="H48" s="55" t="s">
        <v>56</v>
      </c>
      <c r="I48" s="56" t="str">
        <f>C48</f>
        <v>нет</v>
      </c>
      <c r="J48" s="162">
        <f>IF(I48="да",500,0)</f>
        <v>0</v>
      </c>
      <c r="K48" s="191">
        <f t="shared" si="4"/>
        <v>500</v>
      </c>
      <c r="L48" s="196" t="s">
        <v>85</v>
      </c>
    </row>
    <row r="49" spans="2:12" ht="18" customHeight="1" thickBot="1">
      <c r="B49" s="72" t="s">
        <v>53</v>
      </c>
      <c r="C49" s="57" t="s">
        <v>47</v>
      </c>
      <c r="D49" s="63">
        <f>IF(C49="Нет",0,IF(C49="Простая",20,80))</f>
        <v>0</v>
      </c>
      <c r="E49" s="138"/>
      <c r="F49" s="139"/>
      <c r="H49" s="72" t="s">
        <v>53</v>
      </c>
      <c r="I49" s="45" t="str">
        <f>C49</f>
        <v>Нет</v>
      </c>
      <c r="J49" s="36">
        <f>IF(I49="Нет",0,IF(I49="Простая",20,80))</f>
        <v>0</v>
      </c>
      <c r="K49" s="188"/>
      <c r="L49" s="197"/>
    </row>
    <row r="50" spans="2:12" ht="15.75" thickBot="1">
      <c r="B50" s="55" t="s">
        <v>30</v>
      </c>
      <c r="C50" s="152" t="s">
        <v>48</v>
      </c>
      <c r="D50" s="78">
        <f>IF(C50="да",150,0)</f>
        <v>0</v>
      </c>
      <c r="E50" s="155"/>
      <c r="F50" s="68"/>
      <c r="H50" s="160" t="s">
        <v>30</v>
      </c>
      <c r="I50" s="56" t="str">
        <f>C50</f>
        <v>нет</v>
      </c>
      <c r="J50" s="161">
        <f>D50</f>
        <v>0</v>
      </c>
      <c r="K50" s="194"/>
      <c r="L50" s="196"/>
    </row>
    <row r="51" spans="2:12" ht="15.75" thickBot="1">
      <c r="B51" s="33" t="s">
        <v>52</v>
      </c>
      <c r="C51" s="145">
        <v>0</v>
      </c>
      <c r="D51" s="49"/>
      <c r="E51" s="140"/>
      <c r="F51" s="141"/>
      <c r="H51" s="33" t="s">
        <v>52</v>
      </c>
      <c r="I51" s="40">
        <f>C51</f>
        <v>0</v>
      </c>
      <c r="J51" s="31"/>
      <c r="K51" s="195"/>
      <c r="L51" s="198"/>
    </row>
    <row r="52" spans="2:12" ht="15.75" thickBot="1">
      <c r="B52" s="202" t="s">
        <v>3</v>
      </c>
      <c r="C52" s="203"/>
      <c r="D52" s="203">
        <f>(D7+D15+D16+D18+D19+D20+D21+D22+D23+D24+D30+D32+D38+D40+D41+D42+D43+D44+D45+D46+D47+D48+D49+D50)*(1-C51)</f>
        <v>0</v>
      </c>
      <c r="E52" s="204"/>
      <c r="F52" s="205"/>
      <c r="H52" s="202" t="s">
        <v>3</v>
      </c>
      <c r="I52" s="203"/>
      <c r="J52" s="203">
        <f>D52</f>
        <v>0</v>
      </c>
      <c r="K52" s="204"/>
      <c r="L52" s="205"/>
    </row>
    <row r="53" spans="2:12" ht="15.75" thickBot="1">
      <c r="B53" s="199" t="s">
        <v>99</v>
      </c>
      <c r="C53" s="201">
        <v>1</v>
      </c>
      <c r="D53" s="72"/>
      <c r="E53" s="138"/>
      <c r="F53" s="139"/>
      <c r="H53" s="200" t="s">
        <v>99</v>
      </c>
      <c r="I53" s="45">
        <f>C53</f>
        <v>1</v>
      </c>
      <c r="J53" s="72"/>
      <c r="K53" s="188"/>
      <c r="L53" s="197"/>
    </row>
    <row r="54" spans="2:12" ht="19.5" thickBot="1">
      <c r="B54" s="96" t="s">
        <v>100</v>
      </c>
      <c r="C54" s="203"/>
      <c r="D54" s="203">
        <f>D52*C53</f>
        <v>0</v>
      </c>
      <c r="E54" s="204"/>
      <c r="F54" s="205"/>
      <c r="H54" s="96" t="s">
        <v>100</v>
      </c>
      <c r="I54" s="131">
        <f>C54</f>
        <v>0</v>
      </c>
      <c r="J54" s="203">
        <f>D54</f>
        <v>0</v>
      </c>
      <c r="K54" s="204"/>
      <c r="L54" s="205"/>
    </row>
    <row r="55" ht="15.75" thickBot="1">
      <c r="J55" s="4"/>
    </row>
    <row r="56" spans="2:10" ht="15">
      <c r="B56" s="206" t="s">
        <v>28</v>
      </c>
      <c r="C56" s="207"/>
      <c r="D56" s="208" t="s">
        <v>76</v>
      </c>
      <c r="E56" s="209"/>
      <c r="F56" s="210"/>
      <c r="H56" s="206" t="s">
        <v>28</v>
      </c>
      <c r="I56" s="218">
        <f>C56</f>
        <v>0</v>
      </c>
      <c r="J56" s="9"/>
    </row>
    <row r="57" spans="2:9" ht="15">
      <c r="B57" s="211" t="s">
        <v>23</v>
      </c>
      <c r="C57" s="212"/>
      <c r="D57" s="213" t="s">
        <v>77</v>
      </c>
      <c r="E57" s="239"/>
      <c r="F57" s="240"/>
      <c r="H57" s="211" t="s">
        <v>23</v>
      </c>
      <c r="I57" s="219">
        <f>C57</f>
        <v>0</v>
      </c>
    </row>
    <row r="58" spans="2:9" ht="15.75" thickBot="1">
      <c r="B58" s="214" t="s">
        <v>24</v>
      </c>
      <c r="C58" s="215"/>
      <c r="D58" s="215"/>
      <c r="E58" s="216"/>
      <c r="F58" s="217"/>
      <c r="H58" s="214" t="str">
        <f>B58</f>
        <v>Оплачено</v>
      </c>
      <c r="I58" s="220"/>
    </row>
    <row r="65" spans="6:9" ht="15">
      <c r="F65" s="21"/>
      <c r="G65" s="9"/>
      <c r="H65" s="9"/>
      <c r="I65" s="9"/>
    </row>
    <row r="66" spans="6:9" ht="15">
      <c r="F66" s="21"/>
      <c r="G66" s="9"/>
      <c r="H66" s="9"/>
      <c r="I66" s="9"/>
    </row>
    <row r="67" spans="6:9" ht="15">
      <c r="F67" s="21"/>
      <c r="G67" s="9"/>
      <c r="H67" s="9"/>
      <c r="I67" s="9"/>
    </row>
    <row r="68" spans="6:9" ht="15">
      <c r="F68" s="9"/>
      <c r="G68" s="9"/>
      <c r="H68" s="9"/>
      <c r="I68" s="9"/>
    </row>
    <row r="69" spans="2:9" ht="15">
      <c r="B69" s="97"/>
      <c r="C69" s="97"/>
      <c r="D69" s="97"/>
      <c r="E69" s="97"/>
      <c r="F69" s="9"/>
      <c r="G69" s="9"/>
      <c r="H69" s="9"/>
      <c r="I69" s="9"/>
    </row>
    <row r="70" spans="2:5" ht="15">
      <c r="B70" s="97" t="s">
        <v>26</v>
      </c>
      <c r="C70" s="97"/>
      <c r="D70" s="97"/>
      <c r="E70" s="97"/>
    </row>
    <row r="71" spans="2:5" ht="15">
      <c r="B71" s="97" t="s">
        <v>25</v>
      </c>
      <c r="C71" s="97"/>
      <c r="D71" s="97"/>
      <c r="E71" s="97"/>
    </row>
    <row r="72" spans="2:5" ht="15">
      <c r="B72" s="97"/>
      <c r="C72" s="97"/>
      <c r="D72" s="97"/>
      <c r="E72" s="97"/>
    </row>
    <row r="73" spans="2:5" ht="15">
      <c r="B73" s="97"/>
      <c r="C73" s="97"/>
      <c r="D73" s="97"/>
      <c r="E73" s="97"/>
    </row>
    <row r="74" spans="2:5" ht="15">
      <c r="B74" s="98" t="s">
        <v>24</v>
      </c>
      <c r="C74" s="97"/>
      <c r="D74" s="97"/>
      <c r="E74" s="97"/>
    </row>
    <row r="75" spans="2:5" ht="15">
      <c r="B75" s="98" t="s">
        <v>29</v>
      </c>
      <c r="C75" s="97"/>
      <c r="D75" s="97"/>
      <c r="E75" s="97"/>
    </row>
    <row r="76" spans="2:5" ht="15">
      <c r="B76" s="97"/>
      <c r="C76" s="97"/>
      <c r="D76" s="97"/>
      <c r="E76" s="97"/>
    </row>
    <row r="77" spans="2:5" ht="15">
      <c r="B77" s="97"/>
      <c r="C77" s="97"/>
      <c r="D77" s="97"/>
      <c r="E77" s="97"/>
    </row>
    <row r="78" spans="2:5" ht="15">
      <c r="B78" s="97"/>
      <c r="C78" s="97"/>
      <c r="D78" s="97"/>
      <c r="E78" s="97"/>
    </row>
    <row r="79" spans="2:5" ht="15">
      <c r="B79" s="97" t="s">
        <v>48</v>
      </c>
      <c r="C79" s="97"/>
      <c r="D79" s="97"/>
      <c r="E79" s="97"/>
    </row>
    <row r="80" spans="2:5" ht="15">
      <c r="B80" s="97" t="s">
        <v>49</v>
      </c>
      <c r="C80" s="97"/>
      <c r="D80" s="97"/>
      <c r="E80" s="97"/>
    </row>
    <row r="81" spans="2:5" ht="15">
      <c r="B81" s="97"/>
      <c r="C81" s="97"/>
      <c r="D81" s="97"/>
      <c r="E81" s="97"/>
    </row>
    <row r="82" spans="2:5" ht="15">
      <c r="B82" s="97" t="s">
        <v>47</v>
      </c>
      <c r="C82" s="97"/>
      <c r="D82" s="97"/>
      <c r="E82" s="97"/>
    </row>
    <row r="83" spans="2:5" ht="15">
      <c r="B83" s="97">
        <v>1</v>
      </c>
      <c r="C83" s="97"/>
      <c r="D83" s="97"/>
      <c r="E83" s="97"/>
    </row>
    <row r="84" spans="2:5" ht="15">
      <c r="B84" s="97">
        <v>2</v>
      </c>
      <c r="C84" s="97"/>
      <c r="D84" s="97"/>
      <c r="E84" s="97"/>
    </row>
    <row r="85" spans="2:5" ht="15">
      <c r="B85" s="97">
        <v>3</v>
      </c>
      <c r="C85" s="97"/>
      <c r="D85" s="97"/>
      <c r="E85" s="97"/>
    </row>
    <row r="86" spans="2:5" ht="15">
      <c r="B86" s="97">
        <v>4</v>
      </c>
      <c r="C86" s="97"/>
      <c r="D86" s="97"/>
      <c r="E86" s="97"/>
    </row>
    <row r="87" spans="2:5" ht="15">
      <c r="B87" s="97"/>
      <c r="C87" s="97"/>
      <c r="D87" s="97"/>
      <c r="E87" s="97"/>
    </row>
    <row r="88" spans="2:5" ht="15">
      <c r="B88" s="97"/>
      <c r="C88" s="97"/>
      <c r="D88" s="97"/>
      <c r="E88" s="97"/>
    </row>
    <row r="89" spans="2:5" ht="15">
      <c r="B89" s="97"/>
      <c r="C89" s="97"/>
      <c r="D89" s="97"/>
      <c r="E89" s="97"/>
    </row>
    <row r="90" spans="2:5" ht="15">
      <c r="B90" s="97">
        <v>0</v>
      </c>
      <c r="C90" s="97"/>
      <c r="D90" s="97"/>
      <c r="E90" s="97"/>
    </row>
    <row r="91" spans="2:5" ht="15">
      <c r="B91" s="99">
        <v>0.05</v>
      </c>
      <c r="C91" s="97"/>
      <c r="D91" s="97"/>
      <c r="E91" s="97"/>
    </row>
    <row r="92" spans="2:5" ht="15">
      <c r="B92" s="99">
        <v>0.1</v>
      </c>
      <c r="C92" s="97"/>
      <c r="D92" s="97"/>
      <c r="E92" s="97"/>
    </row>
    <row r="93" spans="2:5" ht="15">
      <c r="B93" s="99">
        <v>0.15</v>
      </c>
      <c r="C93" s="97"/>
      <c r="D93" s="97"/>
      <c r="E93" s="97"/>
    </row>
    <row r="94" spans="2:5" ht="15">
      <c r="B94" s="97"/>
      <c r="C94" s="97"/>
      <c r="D94" s="97"/>
      <c r="E94" s="97"/>
    </row>
    <row r="95" spans="2:5" ht="15">
      <c r="B95" s="97"/>
      <c r="C95" s="97"/>
      <c r="D95" s="97"/>
      <c r="E95" s="97"/>
    </row>
    <row r="96" spans="2:5" ht="15">
      <c r="B96" s="97" t="s">
        <v>47</v>
      </c>
      <c r="C96" s="97"/>
      <c r="D96" s="97"/>
      <c r="E96" s="97"/>
    </row>
    <row r="97" spans="2:5" ht="15">
      <c r="B97" s="97" t="s">
        <v>54</v>
      </c>
      <c r="C97" s="97"/>
      <c r="D97" s="97"/>
      <c r="E97" s="97"/>
    </row>
    <row r="98" spans="2:5" ht="15">
      <c r="B98" s="97" t="s">
        <v>55</v>
      </c>
      <c r="C98" s="97"/>
      <c r="D98" s="97"/>
      <c r="E98" s="97"/>
    </row>
    <row r="99" spans="2:5" ht="15">
      <c r="B99" s="97"/>
      <c r="C99" s="97"/>
      <c r="D99" s="97"/>
      <c r="E99" s="97"/>
    </row>
    <row r="100" spans="2:5" ht="15">
      <c r="B100" s="97"/>
      <c r="C100" s="97"/>
      <c r="D100" s="97"/>
      <c r="E100" s="97"/>
    </row>
    <row r="101" spans="2:5" ht="15">
      <c r="B101" s="97"/>
      <c r="C101" s="97"/>
      <c r="D101" s="97"/>
      <c r="E101" s="97"/>
    </row>
    <row r="102" spans="2:5" ht="15">
      <c r="B102" s="97"/>
      <c r="C102" s="97"/>
      <c r="D102" s="97"/>
      <c r="E102" s="97"/>
    </row>
    <row r="103" spans="2:5" ht="15">
      <c r="B103" s="97"/>
      <c r="C103" s="97"/>
      <c r="D103" s="97"/>
      <c r="E103" s="97"/>
    </row>
    <row r="104" spans="2:5" ht="15">
      <c r="B104" s="97"/>
      <c r="C104" s="97"/>
      <c r="D104" s="97"/>
      <c r="E104" s="97"/>
    </row>
    <row r="105" spans="2:5" ht="15">
      <c r="B105" s="97"/>
      <c r="C105" s="97"/>
      <c r="D105" s="97"/>
      <c r="E105" s="97"/>
    </row>
    <row r="106" spans="2:5" ht="15">
      <c r="B106" s="97"/>
      <c r="C106" s="97"/>
      <c r="D106" s="97"/>
      <c r="E106" s="97"/>
    </row>
    <row r="107" spans="2:5" ht="15">
      <c r="B107" s="97"/>
      <c r="C107" s="97"/>
      <c r="D107" s="97"/>
      <c r="E107" s="97"/>
    </row>
    <row r="108" spans="2:5" ht="15">
      <c r="B108" s="97"/>
      <c r="C108" s="97"/>
      <c r="D108" s="97"/>
      <c r="E108" s="97"/>
    </row>
    <row r="117" spans="12:16" ht="15">
      <c r="L117" s="97"/>
      <c r="M117" s="97"/>
      <c r="N117" s="97"/>
      <c r="O117" s="97"/>
      <c r="P117" s="97"/>
    </row>
    <row r="118" spans="12:16" ht="15">
      <c r="L118" s="97"/>
      <c r="M118" s="97"/>
      <c r="N118" s="97"/>
      <c r="O118" s="97"/>
      <c r="P118" s="97"/>
    </row>
    <row r="119" spans="12:16" ht="15">
      <c r="L119" s="97"/>
      <c r="M119" s="97">
        <v>1</v>
      </c>
      <c r="N119" s="97"/>
      <c r="O119" s="97"/>
      <c r="P119" s="97"/>
    </row>
    <row r="120" spans="12:16" ht="15">
      <c r="L120" s="97"/>
      <c r="M120" s="97">
        <v>2</v>
      </c>
      <c r="N120" s="97"/>
      <c r="O120" s="97"/>
      <c r="P120" s="97"/>
    </row>
    <row r="121" spans="12:16" ht="15">
      <c r="L121" s="97"/>
      <c r="M121" s="97">
        <v>3</v>
      </c>
      <c r="N121" s="97"/>
      <c r="O121" s="97"/>
      <c r="P121" s="97"/>
    </row>
    <row r="122" spans="12:16" ht="15">
      <c r="L122" s="97"/>
      <c r="M122" s="97">
        <v>4</v>
      </c>
      <c r="N122" s="97"/>
      <c r="O122" s="97"/>
      <c r="P122" s="97"/>
    </row>
    <row r="123" spans="12:16" ht="15">
      <c r="L123" s="97"/>
      <c r="M123" s="97">
        <v>5</v>
      </c>
      <c r="N123" s="97"/>
      <c r="O123" s="97"/>
      <c r="P123" s="97"/>
    </row>
    <row r="124" spans="12:16" ht="15">
      <c r="L124" s="97"/>
      <c r="M124" s="97">
        <v>6</v>
      </c>
      <c r="N124" s="97"/>
      <c r="O124" s="97"/>
      <c r="P124" s="97"/>
    </row>
    <row r="125" spans="12:16" ht="15">
      <c r="L125" s="97"/>
      <c r="M125" s="97">
        <v>7</v>
      </c>
      <c r="N125" s="97"/>
      <c r="O125" s="97"/>
      <c r="P125" s="97"/>
    </row>
    <row r="126" spans="12:16" ht="15">
      <c r="L126" s="97"/>
      <c r="M126" s="97">
        <v>8</v>
      </c>
      <c r="N126" s="97"/>
      <c r="O126" s="97"/>
      <c r="P126" s="97"/>
    </row>
    <row r="127" spans="12:16" ht="15">
      <c r="L127" s="97"/>
      <c r="M127" s="97">
        <v>9</v>
      </c>
      <c r="N127" s="97"/>
      <c r="O127" s="97"/>
      <c r="P127" s="97"/>
    </row>
    <row r="128" spans="12:16" ht="15">
      <c r="L128" s="97"/>
      <c r="M128" s="97">
        <v>10</v>
      </c>
      <c r="N128" s="97"/>
      <c r="O128" s="97"/>
      <c r="P128" s="97"/>
    </row>
  </sheetData>
  <sheetProtection/>
  <mergeCells count="1">
    <mergeCell ref="E57:F57"/>
  </mergeCells>
  <dataValidations count="8">
    <dataValidation type="list" allowBlank="1" sqref="B1">
      <formula1>Адреса</formula1>
    </dataValidation>
    <dataValidation type="list" allowBlank="1" sqref="B58">
      <formula1>Оплата</formula1>
    </dataValidation>
    <dataValidation allowBlank="1" sqref="H58"/>
    <dataValidation type="list" allowBlank="1" showInputMessage="1" showErrorMessage="1" sqref="B80 C7 C18:C24 C40:C43 C50 C34 I34 I7 I18:I24 I40:I43 I46 I48 C47:C48">
      <formula1>$B$79:$B$80</formula1>
    </dataValidation>
    <dataValidation type="list" allowBlank="1" showInputMessage="1" showErrorMessage="1" sqref="C15:C16 I44 I15:I16 C44:C46">
      <formula1>$B$82:$B$86</formula1>
    </dataValidation>
    <dataValidation type="list" allowBlank="1" showInputMessage="1" showErrorMessage="1" sqref="C51 I51">
      <formula1>$B$90:$B$93</formula1>
    </dataValidation>
    <dataValidation type="list" allowBlank="1" showInputMessage="1" showErrorMessage="1" sqref="C49 I49">
      <formula1>$B$96:$B$98</formula1>
    </dataValidation>
    <dataValidation type="list" allowBlank="1" showInputMessage="1" showErrorMessage="1" sqref="C53">
      <formula1>$M$119:$M$128</formula1>
    </dataValidation>
  </dataValidations>
  <printOptions/>
  <pageMargins left="0.6299212598425197" right="0.6299212598425197" top="0" bottom="0" header="0.1968503937007874" footer="0.31496062992125984"/>
  <pageSetup fitToWidth="0" fitToHeight="1" orientation="landscape" pageOrder="overThenDown" paperSize="11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P212"/>
  <sheetViews>
    <sheetView zoomScale="84" zoomScaleNormal="84" zoomScalePageLayoutView="0" workbookViewId="0" topLeftCell="A17">
      <selection activeCell="L65" sqref="A1:L65"/>
    </sheetView>
  </sheetViews>
  <sheetFormatPr defaultColWidth="9.140625" defaultRowHeight="15"/>
  <cols>
    <col min="1" max="1" width="3.140625" style="0" customWidth="1"/>
    <col min="2" max="2" width="29.8515625" style="0" customWidth="1"/>
    <col min="3" max="3" width="14.421875" style="0" customWidth="1"/>
    <col min="4" max="4" width="10.140625" style="0" customWidth="1"/>
    <col min="5" max="5" width="6.57421875" style="0" customWidth="1"/>
    <col min="6" max="6" width="9.7109375" style="0" customWidth="1"/>
    <col min="7" max="7" width="6.57421875" style="0" customWidth="1"/>
    <col min="8" max="8" width="29.28125" style="0" customWidth="1"/>
    <col min="9" max="9" width="10.421875" style="0" customWidth="1"/>
    <col min="10" max="10" width="8.421875" style="0" customWidth="1"/>
    <col min="11" max="11" width="6.140625" style="0" customWidth="1"/>
    <col min="12" max="12" width="9.7109375" style="0" customWidth="1"/>
    <col min="13" max="13" width="3.8515625" style="0" customWidth="1"/>
    <col min="14" max="14" width="0.71875" style="0" hidden="1" customWidth="1"/>
    <col min="15" max="15" width="1.57421875" style="0" hidden="1" customWidth="1"/>
  </cols>
  <sheetData>
    <row r="1" spans="1:15" ht="27.75" customHeight="1" thickBot="1">
      <c r="A1" s="25"/>
      <c r="B1" s="221" t="s">
        <v>25</v>
      </c>
      <c r="G1" s="19"/>
      <c r="H1" s="222" t="str">
        <f>B1</f>
        <v>Михневская ул., д. 7, стр. 2 (магазин "Галантерея")</v>
      </c>
      <c r="K1" s="28"/>
      <c r="L1" s="24"/>
      <c r="M1" s="9"/>
      <c r="N1" s="1"/>
      <c r="O1" s="1"/>
    </row>
    <row r="2" spans="1:15" ht="15.75" customHeight="1" thickBot="1">
      <c r="A2" s="26"/>
      <c r="B2" s="35" t="s">
        <v>1</v>
      </c>
      <c r="C2" s="36" t="s">
        <v>2</v>
      </c>
      <c r="D2" s="36" t="s">
        <v>75</v>
      </c>
      <c r="E2" s="175" t="s">
        <v>0</v>
      </c>
      <c r="F2" s="163"/>
      <c r="G2" s="4"/>
      <c r="H2" s="223" t="s">
        <v>27</v>
      </c>
      <c r="K2" s="4"/>
      <c r="L2" s="9"/>
      <c r="M2" s="9"/>
      <c r="N2" s="1"/>
      <c r="O2" s="1"/>
    </row>
    <row r="3" spans="1:15" ht="16.5" customHeight="1" thickBot="1">
      <c r="A3" s="26"/>
      <c r="B3" s="46" t="s">
        <v>31</v>
      </c>
      <c r="C3" s="57"/>
      <c r="D3" s="49"/>
      <c r="E3" s="176"/>
      <c r="F3" s="164"/>
      <c r="G3" s="4"/>
      <c r="H3" s="50" t="s">
        <v>31</v>
      </c>
      <c r="I3" s="67">
        <f aca="true" t="shared" si="0" ref="I3:L9">C3</f>
        <v>0</v>
      </c>
      <c r="J3" s="65"/>
      <c r="K3" s="186"/>
      <c r="L3" s="171"/>
      <c r="M3" s="9"/>
      <c r="N3" s="1"/>
      <c r="O3" s="1"/>
    </row>
    <row r="4" spans="2:15" ht="16.5" customHeight="1" thickBot="1">
      <c r="B4" s="46" t="s">
        <v>32</v>
      </c>
      <c r="C4" s="57"/>
      <c r="D4" s="49"/>
      <c r="E4" s="176"/>
      <c r="F4" s="164"/>
      <c r="G4" s="4"/>
      <c r="H4" s="46" t="s">
        <v>32</v>
      </c>
      <c r="I4" s="48">
        <f t="shared" si="0"/>
        <v>0</v>
      </c>
      <c r="J4" s="49"/>
      <c r="K4" s="176"/>
      <c r="L4" s="164"/>
      <c r="M4" s="9"/>
      <c r="N4" s="1"/>
      <c r="O4" s="1"/>
    </row>
    <row r="5" spans="2:15" ht="15.75" customHeight="1">
      <c r="B5" s="47" t="s">
        <v>33</v>
      </c>
      <c r="C5" s="48">
        <f>(C3+C4)*2</f>
        <v>0</v>
      </c>
      <c r="D5" s="49"/>
      <c r="E5" s="176"/>
      <c r="F5" s="164"/>
      <c r="H5" s="47" t="s">
        <v>33</v>
      </c>
      <c r="I5" s="48">
        <f t="shared" si="0"/>
        <v>0</v>
      </c>
      <c r="J5" s="49"/>
      <c r="K5" s="176"/>
      <c r="L5" s="164"/>
      <c r="M5" s="9"/>
      <c r="N5" s="1"/>
      <c r="O5" s="1"/>
    </row>
    <row r="6" spans="2:15" ht="14.25" customHeight="1" thickBot="1">
      <c r="B6" s="47" t="s">
        <v>34</v>
      </c>
      <c r="C6" s="48">
        <f>C3*C4</f>
        <v>0</v>
      </c>
      <c r="D6" s="49"/>
      <c r="E6" s="176"/>
      <c r="F6" s="164"/>
      <c r="H6" s="47" t="s">
        <v>34</v>
      </c>
      <c r="I6" s="64">
        <f t="shared" si="0"/>
        <v>0</v>
      </c>
      <c r="J6" s="49"/>
      <c r="K6" s="176"/>
      <c r="L6" s="164"/>
      <c r="M6" s="9"/>
      <c r="N6" s="1"/>
      <c r="O6" s="1"/>
    </row>
    <row r="7" spans="2:15" ht="15" customHeight="1">
      <c r="B7" s="88" t="s">
        <v>12</v>
      </c>
      <c r="C7" s="231"/>
      <c r="D7" s="92">
        <f>IF(C7="Да",IF((C3*C4)*4&lt;=0.0315,250,IF((C3*C4)&lt;=0.063,450,IF((C3*C4)&lt;=0.125,650,(C3*C4)*4800))),0)</f>
        <v>0</v>
      </c>
      <c r="E7" s="224">
        <v>4800</v>
      </c>
      <c r="F7" s="225" t="s">
        <v>83</v>
      </c>
      <c r="H7" s="88" t="s">
        <v>12</v>
      </c>
      <c r="I7" s="88">
        <f t="shared" si="0"/>
        <v>0</v>
      </c>
      <c r="J7" s="224">
        <f t="shared" si="0"/>
        <v>0</v>
      </c>
      <c r="K7" s="224">
        <f t="shared" si="0"/>
        <v>4800</v>
      </c>
      <c r="L7" s="225" t="str">
        <f t="shared" si="0"/>
        <v>руб/м.кв</v>
      </c>
      <c r="M7" s="9"/>
      <c r="N7" s="1"/>
      <c r="O7" s="1"/>
    </row>
    <row r="8" spans="2:15" ht="16.5" customHeight="1">
      <c r="B8" s="89" t="s">
        <v>79</v>
      </c>
      <c r="C8" s="232"/>
      <c r="D8" s="93">
        <f>IF(C8="Да",IF(C6&lt;=0.0315,250,IF(C6&lt;=0.063,300,IF(C6&lt;=0.125,350,C6*1800))),0)</f>
        <v>0</v>
      </c>
      <c r="E8" s="226">
        <v>1800</v>
      </c>
      <c r="F8" s="227" t="s">
        <v>83</v>
      </c>
      <c r="H8" s="89" t="s">
        <v>79</v>
      </c>
      <c r="I8" s="89">
        <f t="shared" si="0"/>
        <v>0</v>
      </c>
      <c r="J8" s="226">
        <f t="shared" si="0"/>
        <v>0</v>
      </c>
      <c r="K8" s="226">
        <f t="shared" si="0"/>
        <v>1800</v>
      </c>
      <c r="L8" s="227" t="str">
        <f t="shared" si="0"/>
        <v>руб/м.кв</v>
      </c>
      <c r="M8" s="9"/>
      <c r="N8" s="1"/>
      <c r="O8" s="1"/>
    </row>
    <row r="9" spans="2:15" ht="15.75" customHeight="1">
      <c r="B9" s="89" t="s">
        <v>80</v>
      </c>
      <c r="C9" s="232" t="s">
        <v>47</v>
      </c>
      <c r="D9" s="93">
        <f>IF(C9=1,550,IF(C9=2,850,IF(C9=3,1150,IF(C9=4,1450,(IF(C9="стилизация",750,0))))))</f>
        <v>0</v>
      </c>
      <c r="E9" s="226" t="s">
        <v>84</v>
      </c>
      <c r="F9" s="227" t="s">
        <v>85</v>
      </c>
      <c r="H9" s="89" t="s">
        <v>80</v>
      </c>
      <c r="I9" s="89" t="str">
        <f t="shared" si="0"/>
        <v>Нет</v>
      </c>
      <c r="J9" s="226">
        <f t="shared" si="0"/>
        <v>0</v>
      </c>
      <c r="K9" s="226" t="str">
        <f t="shared" si="0"/>
        <v>от 550</v>
      </c>
      <c r="L9" s="227" t="str">
        <f t="shared" si="0"/>
        <v>руб</v>
      </c>
      <c r="M9" s="9"/>
      <c r="N9" s="1"/>
      <c r="O9" s="1"/>
    </row>
    <row r="10" spans="2:15" ht="18.75" customHeight="1">
      <c r="B10" s="89" t="s">
        <v>87</v>
      </c>
      <c r="C10" s="91"/>
      <c r="D10" s="89"/>
      <c r="E10" s="226"/>
      <c r="F10" s="227"/>
      <c r="H10" s="89"/>
      <c r="I10" s="89"/>
      <c r="J10" s="226"/>
      <c r="K10" s="226"/>
      <c r="L10" s="227"/>
      <c r="M10" s="9"/>
      <c r="N10" s="1"/>
      <c r="O10" s="1"/>
    </row>
    <row r="11" spans="1:15" ht="18.75" customHeight="1" thickBot="1">
      <c r="A11" s="26"/>
      <c r="B11" s="90" t="s">
        <v>81</v>
      </c>
      <c r="C11" s="233"/>
      <c r="D11" s="94">
        <f>IF(C11="да",200,0)</f>
        <v>0</v>
      </c>
      <c r="E11" s="228" t="s">
        <v>86</v>
      </c>
      <c r="F11" s="229" t="s">
        <v>85</v>
      </c>
      <c r="H11" s="90" t="s">
        <v>81</v>
      </c>
      <c r="I11" s="90">
        <f>C11</f>
        <v>0</v>
      </c>
      <c r="J11" s="228">
        <f>D11</f>
        <v>0</v>
      </c>
      <c r="K11" s="228" t="str">
        <f>E11</f>
        <v>от 200</v>
      </c>
      <c r="L11" s="229" t="str">
        <f>F11</f>
        <v>руб</v>
      </c>
      <c r="M11" s="9"/>
      <c r="N11" s="1"/>
      <c r="O11" s="1"/>
    </row>
    <row r="12" spans="1:15" ht="1.5" customHeight="1" thickBot="1">
      <c r="A12" s="26"/>
      <c r="B12" s="74" t="s">
        <v>78</v>
      </c>
      <c r="C12" s="69" t="s">
        <v>48</v>
      </c>
      <c r="D12" s="77">
        <f>IF(C12="да",C15*C14,0)</f>
        <v>0</v>
      </c>
      <c r="E12" s="177"/>
      <c r="F12" s="165"/>
      <c r="H12" s="136" t="s">
        <v>78</v>
      </c>
      <c r="I12" s="38" t="str">
        <f>C12</f>
        <v>нет</v>
      </c>
      <c r="J12" s="82">
        <f>D12</f>
        <v>0</v>
      </c>
      <c r="K12" s="183"/>
      <c r="L12" s="85"/>
      <c r="M12" s="9"/>
      <c r="N12" s="1"/>
      <c r="O12" s="1"/>
    </row>
    <row r="13" spans="1:15" ht="21.75" customHeight="1" hidden="1" thickBot="1">
      <c r="A13" s="26"/>
      <c r="B13" s="75" t="s">
        <v>37</v>
      </c>
      <c r="C13" s="57"/>
      <c r="D13" s="37"/>
      <c r="E13" s="178"/>
      <c r="F13" s="166"/>
      <c r="H13" s="33" t="s">
        <v>37</v>
      </c>
      <c r="I13" s="40">
        <f aca="true" t="shared" si="1" ref="I13:I28">C13</f>
        <v>0</v>
      </c>
      <c r="J13" s="83"/>
      <c r="K13" s="184"/>
      <c r="L13" s="86"/>
      <c r="M13" s="9"/>
      <c r="N13" s="1"/>
      <c r="O13" s="1"/>
    </row>
    <row r="14" spans="1:15" ht="21.75" customHeight="1" hidden="1" thickBot="1">
      <c r="A14" s="26"/>
      <c r="B14" s="75" t="s">
        <v>38</v>
      </c>
      <c r="C14" s="57">
        <v>200</v>
      </c>
      <c r="D14" s="37"/>
      <c r="E14" s="178"/>
      <c r="F14" s="166"/>
      <c r="H14" s="33" t="s">
        <v>38</v>
      </c>
      <c r="I14" s="40">
        <f t="shared" si="1"/>
        <v>200</v>
      </c>
      <c r="J14" s="83"/>
      <c r="K14" s="184"/>
      <c r="L14" s="86"/>
      <c r="M14" s="9"/>
      <c r="N14" s="1"/>
      <c r="O14" s="1"/>
    </row>
    <row r="15" spans="1:15" ht="18.75" customHeight="1" hidden="1" thickBot="1">
      <c r="A15" s="26"/>
      <c r="B15" s="76" t="s">
        <v>39</v>
      </c>
      <c r="C15" s="37">
        <f>IF(C12="да",C5+8*0.015,C5)</f>
        <v>0</v>
      </c>
      <c r="D15" s="37"/>
      <c r="E15" s="178"/>
      <c r="F15" s="166"/>
      <c r="G15" s="4"/>
      <c r="H15" s="34" t="s">
        <v>39</v>
      </c>
      <c r="I15" s="40">
        <f t="shared" si="1"/>
        <v>0</v>
      </c>
      <c r="J15" s="83"/>
      <c r="K15" s="184"/>
      <c r="L15" s="86"/>
      <c r="M15" s="9"/>
      <c r="N15" s="1"/>
      <c r="O15" s="1"/>
    </row>
    <row r="16" spans="1:15" ht="20.25" customHeight="1" hidden="1" thickBot="1">
      <c r="A16" s="26"/>
      <c r="B16" s="39" t="s">
        <v>40</v>
      </c>
      <c r="C16" s="39">
        <f>IF(C12="да",(C3+0.03)*(C4+0.03),C6)</f>
        <v>0</v>
      </c>
      <c r="D16" s="44"/>
      <c r="E16" s="179"/>
      <c r="F16" s="167"/>
      <c r="G16" s="4"/>
      <c r="H16" s="156" t="s">
        <v>40</v>
      </c>
      <c r="I16" s="44">
        <f t="shared" si="1"/>
        <v>0</v>
      </c>
      <c r="J16" s="84"/>
      <c r="K16" s="185"/>
      <c r="L16" s="87"/>
      <c r="M16" s="9"/>
      <c r="N16" s="1"/>
      <c r="O16" s="1"/>
    </row>
    <row r="17" spans="1:15" ht="3" customHeight="1" thickBot="1">
      <c r="A17" s="26"/>
      <c r="B17" s="50" t="s">
        <v>41</v>
      </c>
      <c r="C17" s="57"/>
      <c r="D17" s="65"/>
      <c r="E17" s="186"/>
      <c r="F17" s="171"/>
      <c r="G17" s="4"/>
      <c r="H17" s="50" t="s">
        <v>41</v>
      </c>
      <c r="I17" s="67">
        <f t="shared" si="1"/>
        <v>0</v>
      </c>
      <c r="J17" s="142"/>
      <c r="K17" s="190"/>
      <c r="L17" s="171"/>
      <c r="M17" s="9"/>
      <c r="N17" s="1"/>
      <c r="O17" s="1"/>
    </row>
    <row r="18" spans="1:15" ht="15" customHeight="1" hidden="1" thickBot="1">
      <c r="A18" s="26"/>
      <c r="B18" s="51" t="s">
        <v>42</v>
      </c>
      <c r="C18" s="48">
        <f>C15+8*C17</f>
        <v>0</v>
      </c>
      <c r="D18" s="49"/>
      <c r="E18" s="176"/>
      <c r="F18" s="164"/>
      <c r="G18" s="4"/>
      <c r="H18" s="51" t="s">
        <v>42</v>
      </c>
      <c r="I18" s="48">
        <f t="shared" si="1"/>
        <v>0</v>
      </c>
      <c r="J18" s="143"/>
      <c r="K18" s="191"/>
      <c r="L18" s="164"/>
      <c r="M18" s="9"/>
      <c r="N18" s="1"/>
      <c r="O18" s="1"/>
    </row>
    <row r="19" spans="1:15" ht="18" customHeight="1" hidden="1" thickBot="1">
      <c r="A19" s="26"/>
      <c r="B19" s="47" t="s">
        <v>60</v>
      </c>
      <c r="C19" s="48">
        <f>IF(C12="да",(C3+0.03+C17*2)*(C4+0.03+C17*2),(C3+2*C17)*(C4+2*C17))</f>
        <v>0</v>
      </c>
      <c r="D19" s="49"/>
      <c r="E19" s="176"/>
      <c r="F19" s="164"/>
      <c r="G19" s="4"/>
      <c r="H19" s="47" t="s">
        <v>60</v>
      </c>
      <c r="I19" s="48">
        <f t="shared" si="1"/>
        <v>0</v>
      </c>
      <c r="J19" s="143"/>
      <c r="K19" s="191"/>
      <c r="L19" s="164"/>
      <c r="M19" s="9"/>
      <c r="N19" s="1"/>
      <c r="O19" s="1"/>
    </row>
    <row r="20" spans="1:15" ht="15" customHeight="1" hidden="1" thickBot="1">
      <c r="A20" s="26"/>
      <c r="B20" s="51" t="s">
        <v>66</v>
      </c>
      <c r="C20" s="145" t="s">
        <v>47</v>
      </c>
      <c r="D20" s="59">
        <f>IF(C20=1,C19*E20,IF(C20=2,C19*E20*2,IF(C20=3,C19*3*E20,IF(C20=4,C19*4*E20,0))))</f>
        <v>0</v>
      </c>
      <c r="E20" s="176">
        <v>1000</v>
      </c>
      <c r="F20" s="164" t="s">
        <v>63</v>
      </c>
      <c r="G20" s="4"/>
      <c r="H20" s="51" t="s">
        <v>66</v>
      </c>
      <c r="I20" s="48" t="str">
        <f t="shared" si="1"/>
        <v>Нет</v>
      </c>
      <c r="J20" s="143">
        <f>D20</f>
        <v>0</v>
      </c>
      <c r="K20" s="191">
        <v>1000</v>
      </c>
      <c r="L20" s="164" t="s">
        <v>63</v>
      </c>
      <c r="M20" s="9"/>
      <c r="N20" s="1"/>
      <c r="O20" s="1"/>
    </row>
    <row r="21" spans="1:15" ht="15.75" customHeight="1" hidden="1" thickBot="1">
      <c r="A21" s="26"/>
      <c r="B21" s="51" t="s">
        <v>65</v>
      </c>
      <c r="C21" s="145" t="s">
        <v>47</v>
      </c>
      <c r="D21" s="59">
        <f>IF(C21=1,C19*E21,IF(C21=2,C19*E21*2,IF(C21=3,C19*3*E21,IF(C21=4,C19*4*E21,0))))</f>
        <v>0</v>
      </c>
      <c r="E21" s="176">
        <v>1900</v>
      </c>
      <c r="F21" s="164" t="s">
        <v>63</v>
      </c>
      <c r="G21" s="4"/>
      <c r="H21" s="51" t="s">
        <v>65</v>
      </c>
      <c r="I21" s="48" t="str">
        <f t="shared" si="1"/>
        <v>Нет</v>
      </c>
      <c r="J21" s="143">
        <f>D21</f>
        <v>0</v>
      </c>
      <c r="K21" s="191">
        <v>1900</v>
      </c>
      <c r="L21" s="164" t="s">
        <v>63</v>
      </c>
      <c r="M21" s="9"/>
      <c r="N21" s="1"/>
      <c r="O21" s="1"/>
    </row>
    <row r="22" spans="1:15" ht="17.25" customHeight="1" hidden="1" thickBot="1">
      <c r="A22" s="26"/>
      <c r="B22" s="53" t="s">
        <v>22</v>
      </c>
      <c r="C22" s="234"/>
      <c r="D22" s="66"/>
      <c r="E22" s="187"/>
      <c r="F22" s="172"/>
      <c r="G22" s="4"/>
      <c r="H22" s="53" t="s">
        <v>22</v>
      </c>
      <c r="I22" s="64">
        <f t="shared" si="1"/>
        <v>0</v>
      </c>
      <c r="J22" s="144"/>
      <c r="K22" s="192"/>
      <c r="L22" s="172"/>
      <c r="M22" s="9"/>
      <c r="N22" s="1"/>
      <c r="O22" s="1"/>
    </row>
    <row r="23" spans="1:15" ht="15.75" customHeight="1">
      <c r="A23" s="26"/>
      <c r="B23" s="30" t="s">
        <v>64</v>
      </c>
      <c r="C23" s="147" t="s">
        <v>48</v>
      </c>
      <c r="D23" s="61">
        <f>IF(C23="да",(C5+0.032)*E23,0)</f>
        <v>0</v>
      </c>
      <c r="E23" s="181">
        <v>150</v>
      </c>
      <c r="F23" s="166" t="s">
        <v>62</v>
      </c>
      <c r="G23" s="4"/>
      <c r="H23" s="29" t="s">
        <v>64</v>
      </c>
      <c r="I23" s="42" t="str">
        <f t="shared" si="1"/>
        <v>нет</v>
      </c>
      <c r="J23" s="157">
        <f aca="true" t="shared" si="2" ref="J23:J28">D23</f>
        <v>0</v>
      </c>
      <c r="K23" s="180">
        <v>150</v>
      </c>
      <c r="L23" s="168" t="s">
        <v>62</v>
      </c>
      <c r="M23" s="9"/>
      <c r="N23" s="1"/>
      <c r="O23" s="1"/>
    </row>
    <row r="24" spans="1:15" ht="15.75" customHeight="1">
      <c r="A24" s="26"/>
      <c r="B24" s="30" t="s">
        <v>67</v>
      </c>
      <c r="C24" s="147" t="s">
        <v>48</v>
      </c>
      <c r="D24" s="61">
        <f>IF(C24="да",(C5+0.032)*E24,0)</f>
        <v>0</v>
      </c>
      <c r="E24" s="181">
        <v>200</v>
      </c>
      <c r="F24" s="166" t="s">
        <v>62</v>
      </c>
      <c r="G24" s="4"/>
      <c r="H24" s="30" t="s">
        <v>67</v>
      </c>
      <c r="I24" s="42" t="str">
        <f t="shared" si="1"/>
        <v>нет</v>
      </c>
      <c r="J24" s="12">
        <f t="shared" si="2"/>
        <v>0</v>
      </c>
      <c r="K24" s="181">
        <v>200</v>
      </c>
      <c r="L24" s="169" t="s">
        <v>62</v>
      </c>
      <c r="M24" s="9"/>
      <c r="N24" s="1"/>
      <c r="O24" s="1"/>
    </row>
    <row r="25" spans="1:15" ht="17.25" customHeight="1">
      <c r="A25" s="26"/>
      <c r="B25" s="30" t="s">
        <v>68</v>
      </c>
      <c r="C25" s="147" t="s">
        <v>48</v>
      </c>
      <c r="D25" s="61">
        <f>IF(C25="да",(C5+0.032)*E25,0)</f>
        <v>0</v>
      </c>
      <c r="E25" s="181">
        <v>70</v>
      </c>
      <c r="F25" s="166" t="s">
        <v>62</v>
      </c>
      <c r="G25" s="4"/>
      <c r="H25" s="30" t="s">
        <v>68</v>
      </c>
      <c r="I25" s="42" t="str">
        <f t="shared" si="1"/>
        <v>нет</v>
      </c>
      <c r="J25" s="12">
        <f t="shared" si="2"/>
        <v>0</v>
      </c>
      <c r="K25" s="181">
        <v>70</v>
      </c>
      <c r="L25" s="169" t="s">
        <v>62</v>
      </c>
      <c r="M25" s="20"/>
      <c r="N25" s="1"/>
      <c r="O25" s="1"/>
    </row>
    <row r="26" spans="1:15" ht="0.75" customHeight="1">
      <c r="A26" s="26"/>
      <c r="B26" s="30" t="s">
        <v>69</v>
      </c>
      <c r="C26" s="147" t="s">
        <v>48</v>
      </c>
      <c r="D26" s="61">
        <f>IF(C26="да",C5*E26,0)</f>
        <v>0</v>
      </c>
      <c r="E26" s="181">
        <v>30</v>
      </c>
      <c r="F26" s="166" t="s">
        <v>62</v>
      </c>
      <c r="G26" s="4"/>
      <c r="H26" s="30" t="s">
        <v>69</v>
      </c>
      <c r="I26" s="42" t="str">
        <f t="shared" si="1"/>
        <v>нет</v>
      </c>
      <c r="J26" s="12">
        <f t="shared" si="2"/>
        <v>0</v>
      </c>
      <c r="K26" s="181">
        <v>30</v>
      </c>
      <c r="L26" s="169" t="s">
        <v>62</v>
      </c>
      <c r="M26" s="20"/>
      <c r="N26" s="2"/>
      <c r="O26" s="1"/>
    </row>
    <row r="27" spans="1:15" ht="17.25" customHeight="1">
      <c r="A27" s="26"/>
      <c r="B27" s="30" t="s">
        <v>70</v>
      </c>
      <c r="C27" s="147" t="s">
        <v>48</v>
      </c>
      <c r="D27" s="61">
        <f>IF(C27="да",(C3+0.008)*(C4+0.008)*E27,0)</f>
        <v>0</v>
      </c>
      <c r="E27" s="181">
        <v>900</v>
      </c>
      <c r="F27" s="166" t="s">
        <v>63</v>
      </c>
      <c r="G27" s="4"/>
      <c r="H27" s="30" t="s">
        <v>70</v>
      </c>
      <c r="I27" s="42" t="str">
        <f t="shared" si="1"/>
        <v>нет</v>
      </c>
      <c r="J27" s="12">
        <f t="shared" si="2"/>
        <v>0</v>
      </c>
      <c r="K27" s="181">
        <v>900</v>
      </c>
      <c r="L27" s="169" t="s">
        <v>63</v>
      </c>
      <c r="M27" s="20"/>
      <c r="N27" s="2"/>
      <c r="O27" s="1"/>
    </row>
    <row r="28" spans="1:15" ht="19.5" customHeight="1" thickBot="1">
      <c r="A28" s="26"/>
      <c r="B28" s="32" t="s">
        <v>13</v>
      </c>
      <c r="C28" s="148" t="s">
        <v>48</v>
      </c>
      <c r="D28" s="62">
        <f>IF(C28="да",C5*E28,0)</f>
        <v>0</v>
      </c>
      <c r="E28" s="182">
        <v>1500</v>
      </c>
      <c r="F28" s="167" t="s">
        <v>63</v>
      </c>
      <c r="G28" s="4"/>
      <c r="H28" s="32" t="s">
        <v>13</v>
      </c>
      <c r="I28" s="43" t="str">
        <f t="shared" si="1"/>
        <v>нет</v>
      </c>
      <c r="J28" s="158">
        <f t="shared" si="2"/>
        <v>0</v>
      </c>
      <c r="K28" s="182">
        <v>1500</v>
      </c>
      <c r="L28" s="170" t="s">
        <v>63</v>
      </c>
      <c r="M28" s="20"/>
      <c r="N28" s="2"/>
      <c r="O28" s="1"/>
    </row>
    <row r="29" spans="1:15" ht="0.75" customHeight="1" thickBot="1">
      <c r="A29" s="26"/>
      <c r="B29" s="54" t="s">
        <v>43</v>
      </c>
      <c r="C29" s="147" t="s">
        <v>48</v>
      </c>
      <c r="D29" s="59">
        <f>IF(C29="да",C32*C31,0)</f>
        <v>0</v>
      </c>
      <c r="E29" s="176"/>
      <c r="F29" s="164"/>
      <c r="G29" s="4"/>
      <c r="H29" s="51" t="s">
        <v>43</v>
      </c>
      <c r="I29" s="80" t="s">
        <v>48</v>
      </c>
      <c r="J29" s="49">
        <f>IF(I29="да",I32*I31,0)</f>
        <v>0</v>
      </c>
      <c r="K29" s="176">
        <v>100</v>
      </c>
      <c r="L29" s="164" t="s">
        <v>62</v>
      </c>
      <c r="M29" s="20"/>
      <c r="N29" s="2"/>
      <c r="O29" s="1"/>
    </row>
    <row r="30" spans="1:15" ht="19.5" customHeight="1" hidden="1" thickBot="1">
      <c r="A30" s="26"/>
      <c r="B30" s="51" t="s">
        <v>37</v>
      </c>
      <c r="C30" s="145"/>
      <c r="D30" s="49"/>
      <c r="E30" s="176"/>
      <c r="F30" s="164"/>
      <c r="G30" s="4"/>
      <c r="H30" s="51" t="s">
        <v>37</v>
      </c>
      <c r="I30" s="48"/>
      <c r="J30" s="49"/>
      <c r="K30" s="176"/>
      <c r="L30" s="164"/>
      <c r="M30" s="20"/>
      <c r="N30" s="2"/>
      <c r="O30" s="1"/>
    </row>
    <row r="31" spans="1:15" ht="15.75" customHeight="1" hidden="1" thickBot="1">
      <c r="A31" s="26"/>
      <c r="B31" s="51" t="s">
        <v>38</v>
      </c>
      <c r="C31" s="145"/>
      <c r="D31" s="49"/>
      <c r="E31" s="176"/>
      <c r="F31" s="164"/>
      <c r="G31" s="4"/>
      <c r="H31" s="51" t="s">
        <v>38</v>
      </c>
      <c r="I31" s="48"/>
      <c r="J31" s="49"/>
      <c r="K31" s="176"/>
      <c r="L31" s="164"/>
      <c r="M31" s="9"/>
      <c r="N31" s="2"/>
      <c r="O31" s="1"/>
    </row>
    <row r="32" spans="1:15" ht="20.25" customHeight="1" hidden="1" thickBot="1">
      <c r="A32" s="26"/>
      <c r="B32" s="51" t="s">
        <v>44</v>
      </c>
      <c r="C32" s="48">
        <f>IF(C29="да",C18+8*0.015,C18)</f>
        <v>0</v>
      </c>
      <c r="D32" s="49"/>
      <c r="E32" s="176"/>
      <c r="F32" s="164"/>
      <c r="G32" s="4"/>
      <c r="H32" s="51" t="s">
        <v>44</v>
      </c>
      <c r="I32" s="48">
        <f>IF(I29="да",I18+8*0.015,I18)</f>
        <v>0</v>
      </c>
      <c r="J32" s="49"/>
      <c r="K32" s="176"/>
      <c r="L32" s="164"/>
      <c r="M32" s="9"/>
      <c r="N32" s="2"/>
      <c r="O32" s="1"/>
    </row>
    <row r="33" spans="1:15" ht="20.25" customHeight="1" hidden="1" thickBot="1">
      <c r="A33" s="26"/>
      <c r="B33" s="51" t="s">
        <v>45</v>
      </c>
      <c r="C33" s="48">
        <f>IF(AND(C12="да",C29="да"),(C3+0.06+2*C17)*(C4+0.06+2*C17),IF(OR(C12="да",C29="да"),(C3+0.03+2*C17)*(C4+0.03+2*C17),(C3+2*C17)*(C4+2*C17)))</f>
        <v>0</v>
      </c>
      <c r="D33" s="49"/>
      <c r="E33" s="176"/>
      <c r="F33" s="164"/>
      <c r="G33" s="4"/>
      <c r="H33" s="51" t="s">
        <v>45</v>
      </c>
      <c r="I33" s="48">
        <f>IF(AND(I12="да",I29="да"),(I3+0.06+2*I17)*(I4+0.06+2*I17),IF(OR(I12="да",I29="да"),(I3+0.03+2*I17)*(I4+0.03+2*I17),(I3+2*I17)*(I4+2*I17)))</f>
        <v>0</v>
      </c>
      <c r="J33" s="49"/>
      <c r="K33" s="176"/>
      <c r="L33" s="164"/>
      <c r="M33" s="9"/>
      <c r="N33" s="1"/>
      <c r="O33" s="1"/>
    </row>
    <row r="34" spans="1:15" ht="20.25" customHeight="1" thickBot="1">
      <c r="A34" s="26"/>
      <c r="B34" s="29" t="s">
        <v>21</v>
      </c>
      <c r="C34" s="70"/>
      <c r="D34" s="95"/>
      <c r="E34" s="183"/>
      <c r="F34" s="168"/>
      <c r="G34" s="4"/>
      <c r="H34" s="29" t="s">
        <v>21</v>
      </c>
      <c r="I34" s="41">
        <f>C34</f>
        <v>0</v>
      </c>
      <c r="J34" s="95"/>
      <c r="K34" s="183"/>
      <c r="L34" s="168"/>
      <c r="N34" s="1"/>
      <c r="O34" s="1"/>
    </row>
    <row r="35" spans="1:15" ht="18.75" customHeight="1" thickBot="1">
      <c r="A35" s="26"/>
      <c r="B35" s="30" t="s">
        <v>50</v>
      </c>
      <c r="C35" s="57"/>
      <c r="D35" s="59">
        <f>IF(C35=0,0,IF(C35&lt;0.02,150,IF(C35&lt;0.04,200,IF(C35&gt;=0.04,300))))</f>
        <v>0</v>
      </c>
      <c r="E35" s="184"/>
      <c r="F35" s="169"/>
      <c r="G35" s="4"/>
      <c r="H35" s="30" t="s">
        <v>50</v>
      </c>
      <c r="I35" s="40">
        <f>C35</f>
        <v>0</v>
      </c>
      <c r="J35" s="31">
        <f>D35</f>
        <v>0</v>
      </c>
      <c r="K35" s="184"/>
      <c r="L35" s="169"/>
      <c r="N35" s="1"/>
      <c r="O35" s="1"/>
    </row>
    <row r="36" spans="1:12" ht="17.25" customHeight="1" thickBot="1">
      <c r="A36" s="26"/>
      <c r="B36" s="30" t="s">
        <v>4</v>
      </c>
      <c r="C36" s="57"/>
      <c r="D36" s="31"/>
      <c r="E36" s="184"/>
      <c r="F36" s="169"/>
      <c r="G36" s="4"/>
      <c r="H36" s="30" t="s">
        <v>4</v>
      </c>
      <c r="I36" s="40">
        <f>C36</f>
        <v>0</v>
      </c>
      <c r="J36" s="31"/>
      <c r="K36" s="184"/>
      <c r="L36" s="169"/>
    </row>
    <row r="37" spans="1:12" ht="19.5" customHeight="1">
      <c r="A37" s="26"/>
      <c r="B37" s="34" t="s">
        <v>51</v>
      </c>
      <c r="C37" s="40">
        <f>C32+C35*8</f>
        <v>0</v>
      </c>
      <c r="D37" s="59">
        <f>C37*C36</f>
        <v>0</v>
      </c>
      <c r="E37" s="184"/>
      <c r="F37" s="169"/>
      <c r="G37" s="4"/>
      <c r="H37" s="34" t="s">
        <v>51</v>
      </c>
      <c r="I37" s="40">
        <f>C37</f>
        <v>0</v>
      </c>
      <c r="J37" s="31">
        <f>D37</f>
        <v>0</v>
      </c>
      <c r="K37" s="184"/>
      <c r="L37" s="169"/>
    </row>
    <row r="38" spans="1:12" ht="18" customHeight="1" thickBot="1">
      <c r="A38" s="26"/>
      <c r="B38" s="27" t="s">
        <v>46</v>
      </c>
      <c r="C38" s="44">
        <f>IF(AND(C12="да",C29="да"),(C3+0.06+2*C17+2*C35)*(C4+0.06+2*C17+2*C35),IF(OR(C12="да",C29="да"),(C3+0.03+2*C17+2*C35)*(C4+0.03+2*C17+2*C35),(C3+2*C17+2*C35)*(C4+2*C17+2*C35)))</f>
        <v>0</v>
      </c>
      <c r="D38" s="130"/>
      <c r="E38" s="185"/>
      <c r="F38" s="170"/>
      <c r="G38" s="4"/>
      <c r="H38" s="27" t="s">
        <v>46</v>
      </c>
      <c r="I38" s="44">
        <f>C38</f>
        <v>0</v>
      </c>
      <c r="J38" s="130"/>
      <c r="K38" s="185"/>
      <c r="L38" s="170"/>
    </row>
    <row r="39" spans="1:12" ht="2.25" customHeight="1" thickBot="1">
      <c r="A39" s="26"/>
      <c r="B39" s="50" t="s">
        <v>61</v>
      </c>
      <c r="C39" s="149" t="s">
        <v>48</v>
      </c>
      <c r="D39" s="135"/>
      <c r="E39" s="186"/>
      <c r="F39" s="171"/>
      <c r="G39" s="4"/>
      <c r="H39" s="50" t="s">
        <v>61</v>
      </c>
      <c r="I39" s="81" t="s">
        <v>48</v>
      </c>
      <c r="J39" s="135"/>
      <c r="K39" s="186"/>
      <c r="L39" s="171"/>
    </row>
    <row r="40" spans="2:12" ht="19.5" customHeight="1" hidden="1" thickBot="1">
      <c r="B40" s="46" t="s">
        <v>57</v>
      </c>
      <c r="C40" s="70"/>
      <c r="D40" s="49"/>
      <c r="E40" s="176"/>
      <c r="F40" s="164"/>
      <c r="G40" s="4"/>
      <c r="H40" s="46" t="s">
        <v>57</v>
      </c>
      <c r="I40" s="79"/>
      <c r="J40" s="49"/>
      <c r="K40" s="176"/>
      <c r="L40" s="164"/>
    </row>
    <row r="41" spans="2:12" ht="18.75" customHeight="1" hidden="1" thickBot="1">
      <c r="B41" s="46" t="s">
        <v>58</v>
      </c>
      <c r="C41" s="57"/>
      <c r="D41" s="49"/>
      <c r="E41" s="176"/>
      <c r="F41" s="164"/>
      <c r="G41" s="4"/>
      <c r="H41" s="46" t="s">
        <v>58</v>
      </c>
      <c r="I41" s="56"/>
      <c r="J41" s="49"/>
      <c r="K41" s="176"/>
      <c r="L41" s="164"/>
    </row>
    <row r="42" spans="2:12" ht="21.75" customHeight="1" hidden="1" thickBot="1">
      <c r="B42" s="46" t="s">
        <v>59</v>
      </c>
      <c r="C42" s="57"/>
      <c r="D42" s="49"/>
      <c r="E42" s="176"/>
      <c r="F42" s="164"/>
      <c r="G42" s="4"/>
      <c r="H42" s="46" t="s">
        <v>59</v>
      </c>
      <c r="I42" s="56"/>
      <c r="J42" s="49"/>
      <c r="K42" s="176"/>
      <c r="L42" s="164"/>
    </row>
    <row r="43" spans="2:12" ht="23.25" customHeight="1" hidden="1" thickBot="1">
      <c r="B43" s="47" t="s">
        <v>51</v>
      </c>
      <c r="C43" s="48">
        <f>C37+C41*8</f>
        <v>0</v>
      </c>
      <c r="D43" s="59">
        <f>C43*C42</f>
        <v>0</v>
      </c>
      <c r="E43" s="176"/>
      <c r="F43" s="164"/>
      <c r="G43" s="4"/>
      <c r="H43" s="47" t="s">
        <v>51</v>
      </c>
      <c r="I43" s="48">
        <f>I37+I41*8</f>
        <v>0</v>
      </c>
      <c r="J43" s="49">
        <f>I43*I42</f>
        <v>0</v>
      </c>
      <c r="K43" s="176"/>
      <c r="L43" s="164"/>
    </row>
    <row r="44" spans="2:12" ht="19.5" customHeight="1" hidden="1" thickBot="1">
      <c r="B44" s="53" t="s">
        <v>46</v>
      </c>
      <c r="C44" s="64">
        <f>IF(AND(C12="да",C29="да"),(C3+0.06+2*C17+2*C35+2*C41)*(C4+0.06+2*C17+2*C35+2*C41),IF(OR(C12="да",C29="да"),(C3+0.03+2*C17+2*C35+2*C41)*(C4+0.03+2*C17+2*C35+2*C41),(C3+2*C17+2*C35+2*C41)*(C4+2*C17+2*C35+2*C41)))</f>
        <v>0</v>
      </c>
      <c r="D44" s="66"/>
      <c r="E44" s="187"/>
      <c r="F44" s="172"/>
      <c r="H44" s="53" t="s">
        <v>46</v>
      </c>
      <c r="I44" s="64">
        <f>IF(AND(I12="да",I29="да"),(I3+0.06+2*I17+2*I35+2*I41)*(I4+0.06+2*I17+2*I35+2*I41),IF(OR(I12="да",I29="да"),(I3+0.03+2*I17+2*I35+2*I41)*(I4+0.03+2*I17+2*I35+2*I41),(I3+2*I17+2*I35+2*I41)*(I4+2*I17+2*I35+2*I41)))</f>
        <v>0</v>
      </c>
      <c r="J44" s="66"/>
      <c r="K44" s="187"/>
      <c r="L44" s="172"/>
    </row>
    <row r="45" spans="2:12" ht="2.25" customHeight="1" thickBot="1">
      <c r="B45" s="136" t="s">
        <v>71</v>
      </c>
      <c r="C45" s="69" t="s">
        <v>48</v>
      </c>
      <c r="D45" s="58">
        <f>IF(AND(C39="да",C45="да"),C38*E45,IF(C45="да",C33*E45,0))</f>
        <v>0</v>
      </c>
      <c r="E45" s="183">
        <v>900</v>
      </c>
      <c r="F45" s="168" t="s">
        <v>63</v>
      </c>
      <c r="H45" s="136" t="s">
        <v>71</v>
      </c>
      <c r="I45" s="38" t="str">
        <f>C45</f>
        <v>нет</v>
      </c>
      <c r="J45" s="95">
        <f>D45</f>
        <v>0</v>
      </c>
      <c r="K45" s="183">
        <v>900</v>
      </c>
      <c r="L45" s="168" t="s">
        <v>63</v>
      </c>
    </row>
    <row r="46" spans="1:12" ht="20.25" customHeight="1" hidden="1" thickBot="1">
      <c r="A46" s="19"/>
      <c r="B46" s="33" t="s">
        <v>72</v>
      </c>
      <c r="C46" s="145" t="s">
        <v>48</v>
      </c>
      <c r="D46" s="59">
        <f>IF(AND(C39="да",C46="да"),C38*E46,IF(C46="да",C33*E46,0))</f>
        <v>0</v>
      </c>
      <c r="E46" s="184">
        <v>1500</v>
      </c>
      <c r="F46" s="169" t="s">
        <v>63</v>
      </c>
      <c r="H46" s="33" t="s">
        <v>72</v>
      </c>
      <c r="I46" s="40" t="s">
        <v>48</v>
      </c>
      <c r="J46" s="31">
        <f aca="true" t="shared" si="3" ref="J46:J52">D46</f>
        <v>0</v>
      </c>
      <c r="K46" s="184">
        <v>1500</v>
      </c>
      <c r="L46" s="169" t="s">
        <v>63</v>
      </c>
    </row>
    <row r="47" spans="1:12" ht="20.25" customHeight="1" hidden="1" thickBot="1">
      <c r="A47" s="19"/>
      <c r="B47" s="33" t="s">
        <v>73</v>
      </c>
      <c r="C47" s="145" t="s">
        <v>48</v>
      </c>
      <c r="D47" s="59">
        <f>IF(AND(C39="да",C47="да"),C38*E47,IF(C47="да",C33*E47,0))</f>
        <v>0</v>
      </c>
      <c r="E47" s="184">
        <v>2500</v>
      </c>
      <c r="F47" s="169" t="s">
        <v>63</v>
      </c>
      <c r="H47" s="33" t="s">
        <v>73</v>
      </c>
      <c r="I47" s="40" t="str">
        <f>C47</f>
        <v>нет</v>
      </c>
      <c r="J47" s="31">
        <f t="shared" si="3"/>
        <v>0</v>
      </c>
      <c r="K47" s="184">
        <v>2500</v>
      </c>
      <c r="L47" s="169" t="s">
        <v>63</v>
      </c>
    </row>
    <row r="48" spans="1:12" ht="18" customHeight="1" hidden="1" thickBot="1">
      <c r="A48" s="19"/>
      <c r="B48" s="32" t="s">
        <v>36</v>
      </c>
      <c r="C48" s="73" t="s">
        <v>48</v>
      </c>
      <c r="D48" s="59">
        <f>IF(AND(C39="да",C48="да"),C38*E48,IF(C48="да",C33*E48,0))</f>
        <v>0</v>
      </c>
      <c r="E48" s="184">
        <v>12000</v>
      </c>
      <c r="F48" s="169" t="s">
        <v>63</v>
      </c>
      <c r="H48" s="32" t="s">
        <v>36</v>
      </c>
      <c r="I48" s="44" t="str">
        <f>C48</f>
        <v>нет</v>
      </c>
      <c r="J48" s="130">
        <f t="shared" si="3"/>
        <v>0</v>
      </c>
      <c r="K48" s="185">
        <v>12000</v>
      </c>
      <c r="L48" s="170" t="s">
        <v>63</v>
      </c>
    </row>
    <row r="49" spans="2:12" ht="18" customHeight="1">
      <c r="B49" s="153" t="s">
        <v>74</v>
      </c>
      <c r="C49" s="150" t="s">
        <v>47</v>
      </c>
      <c r="D49" s="132">
        <f>IF(C49=1,C33*500,IF(C49=2,C33*500*2,IF(C49=3,C33*500*3,IF(C49=4,C33*500*4,IF(C49=5,C33*500*5,0)))))</f>
        <v>0</v>
      </c>
      <c r="E49" s="186">
        <v>500</v>
      </c>
      <c r="F49" s="171" t="s">
        <v>63</v>
      </c>
      <c r="H49" s="153" t="s">
        <v>74</v>
      </c>
      <c r="I49" s="49" t="str">
        <f>C49</f>
        <v>Нет</v>
      </c>
      <c r="J49" s="67">
        <f t="shared" si="3"/>
        <v>0</v>
      </c>
      <c r="K49" s="191">
        <v>500</v>
      </c>
      <c r="L49" s="164" t="s">
        <v>63</v>
      </c>
    </row>
    <row r="50" spans="2:12" ht="15">
      <c r="B50" s="129" t="s">
        <v>98</v>
      </c>
      <c r="C50" s="150" t="s">
        <v>47</v>
      </c>
      <c r="D50" s="133">
        <f>IF(C50=1,C33*E50,IF(C50=2,C33*E50*2,IF(C50=3,C33*E50*3,IF(C50=4,C33*E50*4,IF(C50=5,C33*E50*5,0)))))</f>
        <v>0</v>
      </c>
      <c r="E50" s="176">
        <v>1500</v>
      </c>
      <c r="F50" s="164" t="s">
        <v>63</v>
      </c>
      <c r="H50" s="129" t="s">
        <v>98</v>
      </c>
      <c r="I50" s="48" t="str">
        <f>C50</f>
        <v>Нет</v>
      </c>
      <c r="J50" s="159">
        <f t="shared" si="3"/>
        <v>0</v>
      </c>
      <c r="K50" s="193">
        <f>E50</f>
        <v>1500</v>
      </c>
      <c r="L50" s="164" t="s">
        <v>63</v>
      </c>
    </row>
    <row r="51" spans="2:12" ht="15.75" thickBot="1">
      <c r="B51" s="154" t="s">
        <v>35</v>
      </c>
      <c r="C51" s="150" t="s">
        <v>47</v>
      </c>
      <c r="D51" s="133">
        <f>IF(C51=1,C33*1000,IF(C51=2,C33*1000*2,IF(C51=3,C33*1000*3,IF(C51=4,C33*1000*4,IF(C51=5,C33*1000*5,0)))))</f>
        <v>0</v>
      </c>
      <c r="E51" s="176">
        <v>1000</v>
      </c>
      <c r="F51" s="164" t="s">
        <v>63</v>
      </c>
      <c r="H51" s="154" t="s">
        <v>35</v>
      </c>
      <c r="I51" s="66" t="s">
        <v>48</v>
      </c>
      <c r="J51" s="48">
        <f t="shared" si="3"/>
        <v>0</v>
      </c>
      <c r="K51" s="191">
        <f>E51</f>
        <v>1000</v>
      </c>
      <c r="L51" s="164" t="s">
        <v>63</v>
      </c>
    </row>
    <row r="52" spans="2:12" ht="15.75" thickBot="1">
      <c r="B52" s="137" t="s">
        <v>88</v>
      </c>
      <c r="C52" s="151" t="s">
        <v>48</v>
      </c>
      <c r="D52" s="134">
        <f>IF(C52="да",250,0)</f>
        <v>0</v>
      </c>
      <c r="E52" s="188">
        <v>250</v>
      </c>
      <c r="F52" s="173" t="s">
        <v>89</v>
      </c>
      <c r="H52" s="137" t="str">
        <f>B52</f>
        <v>Лакировка</v>
      </c>
      <c r="I52" s="140" t="str">
        <f>C52</f>
        <v>нет</v>
      </c>
      <c r="J52" s="45">
        <f t="shared" si="3"/>
        <v>0</v>
      </c>
      <c r="K52" s="188">
        <f>E52</f>
        <v>250</v>
      </c>
      <c r="L52" s="173" t="s">
        <v>89</v>
      </c>
    </row>
    <row r="53" spans="2:12" ht="18.75" customHeight="1" thickBot="1">
      <c r="B53" s="55" t="s">
        <v>56</v>
      </c>
      <c r="C53" s="57" t="s">
        <v>48</v>
      </c>
      <c r="D53" s="63">
        <f>IF(C53="да",500,0)</f>
        <v>0</v>
      </c>
      <c r="E53" s="189">
        <v>500</v>
      </c>
      <c r="F53" s="174" t="s">
        <v>85</v>
      </c>
      <c r="H53" s="55" t="s">
        <v>56</v>
      </c>
      <c r="I53" s="56" t="str">
        <f>C53</f>
        <v>нет</v>
      </c>
      <c r="J53" s="162">
        <f>IF(I53="да",500,0)</f>
        <v>0</v>
      </c>
      <c r="K53" s="194">
        <v>500</v>
      </c>
      <c r="L53" s="196" t="s">
        <v>85</v>
      </c>
    </row>
    <row r="54" spans="2:12" ht="15.75" thickBot="1">
      <c r="B54" s="72" t="s">
        <v>53</v>
      </c>
      <c r="C54" s="57" t="s">
        <v>47</v>
      </c>
      <c r="D54" s="63">
        <f>IF(C54="Нет",0,IF(C54="Простая",20,80))</f>
        <v>0</v>
      </c>
      <c r="E54" s="138"/>
      <c r="F54" s="139"/>
      <c r="H54" s="72" t="s">
        <v>53</v>
      </c>
      <c r="I54" s="45" t="str">
        <f>C54</f>
        <v>Нет</v>
      </c>
      <c r="J54" s="36">
        <f>IF(I54="Нет",0,IF(I54="Простая",20,80))</f>
        <v>0</v>
      </c>
      <c r="K54" s="188"/>
      <c r="L54" s="197"/>
    </row>
    <row r="55" spans="2:12" ht="15.75" thickBot="1">
      <c r="B55" s="55" t="s">
        <v>30</v>
      </c>
      <c r="C55" s="152" t="s">
        <v>48</v>
      </c>
      <c r="D55" s="78">
        <f>IF(C55="да",150,0)</f>
        <v>0</v>
      </c>
      <c r="E55" s="155"/>
      <c r="F55" s="68"/>
      <c r="H55" s="160" t="s">
        <v>30</v>
      </c>
      <c r="I55" s="56" t="str">
        <f>C55</f>
        <v>нет</v>
      </c>
      <c r="J55" s="161">
        <f>D55</f>
        <v>0</v>
      </c>
      <c r="K55" s="194"/>
      <c r="L55" s="196"/>
    </row>
    <row r="56" spans="2:12" ht="15.75" thickBot="1">
      <c r="B56" s="33" t="s">
        <v>52</v>
      </c>
      <c r="C56" s="145">
        <v>0</v>
      </c>
      <c r="D56" s="49"/>
      <c r="E56" s="140"/>
      <c r="F56" s="141"/>
      <c r="H56" s="33" t="s">
        <v>52</v>
      </c>
      <c r="I56" s="40">
        <f>C56</f>
        <v>0</v>
      </c>
      <c r="J56" s="31"/>
      <c r="K56" s="195"/>
      <c r="L56" s="198"/>
    </row>
    <row r="57" spans="2:12" ht="15.75" thickBot="1">
      <c r="B57" s="203" t="s">
        <v>101</v>
      </c>
      <c r="C57" s="203"/>
      <c r="D57" s="203">
        <f>D12+D20+D21+D23+D24+D25+D27+D28+D29+D35+D37+D43+D45+D46+D47+D48+D49+D50+D51+D52+D53+D54+D55</f>
        <v>0</v>
      </c>
      <c r="E57" s="204"/>
      <c r="F57" s="205"/>
      <c r="H57" s="203" t="str">
        <f>B57</f>
        <v>Итого за багетные работы</v>
      </c>
      <c r="I57" s="203"/>
      <c r="J57" s="203">
        <f>D57</f>
        <v>0</v>
      </c>
      <c r="K57" s="204"/>
      <c r="L57" s="205"/>
    </row>
    <row r="58" spans="2:12" ht="15.75" thickBot="1">
      <c r="B58" s="203" t="s">
        <v>102</v>
      </c>
      <c r="C58" s="203"/>
      <c r="D58" s="203">
        <f>D7+D8+D9+D11</f>
        <v>0</v>
      </c>
      <c r="E58" s="237"/>
      <c r="F58" s="238"/>
      <c r="H58" s="203" t="str">
        <f>B58</f>
        <v>Итого за создание холста</v>
      </c>
      <c r="I58" s="203"/>
      <c r="J58" s="203">
        <f>D58</f>
        <v>0</v>
      </c>
      <c r="K58" s="237"/>
      <c r="L58" s="238"/>
    </row>
    <row r="59" spans="2:12" ht="15.75" thickBot="1">
      <c r="B59" s="202" t="s">
        <v>3</v>
      </c>
      <c r="C59" s="203"/>
      <c r="D59" s="203">
        <f>D57+D58</f>
        <v>0</v>
      </c>
      <c r="E59" s="204"/>
      <c r="F59" s="205"/>
      <c r="H59" s="202" t="s">
        <v>3</v>
      </c>
      <c r="I59" s="203"/>
      <c r="J59" s="203">
        <f>D59</f>
        <v>0</v>
      </c>
      <c r="K59" s="204"/>
      <c r="L59" s="205"/>
    </row>
    <row r="60" spans="2:12" ht="15.75" thickBot="1">
      <c r="B60" s="199" t="s">
        <v>99</v>
      </c>
      <c r="C60" s="201">
        <v>1</v>
      </c>
      <c r="D60" s="72"/>
      <c r="E60" s="138"/>
      <c r="F60" s="139"/>
      <c r="H60" s="200" t="s">
        <v>99</v>
      </c>
      <c r="I60" s="45">
        <f>C60</f>
        <v>1</v>
      </c>
      <c r="J60" s="72"/>
      <c r="K60" s="188"/>
      <c r="L60" s="197"/>
    </row>
    <row r="61" spans="2:12" ht="19.5" thickBot="1">
      <c r="B61" s="96" t="s">
        <v>100</v>
      </c>
      <c r="C61" s="203"/>
      <c r="D61" s="203">
        <f>D59*C60</f>
        <v>0</v>
      </c>
      <c r="E61" s="204"/>
      <c r="F61" s="205"/>
      <c r="H61" s="96" t="s">
        <v>100</v>
      </c>
      <c r="I61" s="131">
        <f>C61</f>
        <v>0</v>
      </c>
      <c r="J61" s="203">
        <f>D61</f>
        <v>0</v>
      </c>
      <c r="K61" s="204"/>
      <c r="L61" s="205"/>
    </row>
    <row r="62" ht="15.75" thickBot="1">
      <c r="J62" s="4"/>
    </row>
    <row r="63" spans="2:10" ht="15">
      <c r="B63" s="206" t="s">
        <v>28</v>
      </c>
      <c r="C63" s="207"/>
      <c r="D63" s="208" t="s">
        <v>76</v>
      </c>
      <c r="E63" s="209"/>
      <c r="F63" s="210"/>
      <c r="H63" s="206" t="s">
        <v>28</v>
      </c>
      <c r="I63" s="218">
        <f>C63</f>
        <v>0</v>
      </c>
      <c r="J63" s="9"/>
    </row>
    <row r="64" spans="2:9" ht="15">
      <c r="B64" s="211" t="s">
        <v>23</v>
      </c>
      <c r="C64" s="212"/>
      <c r="D64" s="213" t="s">
        <v>77</v>
      </c>
      <c r="E64" s="235"/>
      <c r="F64" s="236"/>
      <c r="H64" s="211" t="s">
        <v>23</v>
      </c>
      <c r="I64" s="219">
        <f>C64</f>
        <v>0</v>
      </c>
    </row>
    <row r="65" spans="2:9" ht="15.75" thickBot="1">
      <c r="B65" s="214" t="s">
        <v>29</v>
      </c>
      <c r="C65" s="215"/>
      <c r="D65" s="215"/>
      <c r="E65" s="216"/>
      <c r="F65" s="217"/>
      <c r="H65" s="214" t="str">
        <f>B65</f>
        <v>Не оплачено</v>
      </c>
      <c r="I65" s="220"/>
    </row>
    <row r="66" spans="6:9" ht="15">
      <c r="F66" s="21"/>
      <c r="G66" s="9"/>
      <c r="H66" s="9"/>
      <c r="I66" s="9"/>
    </row>
    <row r="67" spans="6:9" ht="15">
      <c r="F67" s="21"/>
      <c r="G67" s="9"/>
      <c r="H67" s="9"/>
      <c r="I67" s="9"/>
    </row>
    <row r="68" spans="6:9" ht="15">
      <c r="F68" s="9"/>
      <c r="G68" s="9"/>
      <c r="H68" s="9"/>
      <c r="I68" s="9"/>
    </row>
    <row r="69" spans="2:9" ht="15">
      <c r="B69" s="97"/>
      <c r="C69" s="97"/>
      <c r="D69" s="97"/>
      <c r="E69" s="97"/>
      <c r="F69" s="9"/>
      <c r="G69" s="9"/>
      <c r="H69" s="9"/>
      <c r="I69" s="9"/>
    </row>
    <row r="70" spans="2:5" ht="15">
      <c r="B70" s="97" t="s">
        <v>26</v>
      </c>
      <c r="C70" s="97"/>
      <c r="D70" s="97"/>
      <c r="E70" s="97"/>
    </row>
    <row r="71" spans="2:5" ht="15">
      <c r="B71" s="97" t="s">
        <v>25</v>
      </c>
      <c r="C71" s="97"/>
      <c r="D71" s="97"/>
      <c r="E71" s="97"/>
    </row>
    <row r="72" spans="2:5" ht="15">
      <c r="B72" s="97"/>
      <c r="C72" s="97"/>
      <c r="D72" s="97"/>
      <c r="E72" s="97"/>
    </row>
    <row r="73" spans="2:5" ht="15">
      <c r="B73" s="97"/>
      <c r="C73" s="97"/>
      <c r="D73" s="97"/>
      <c r="E73" s="97"/>
    </row>
    <row r="74" spans="2:5" ht="15">
      <c r="B74" s="98" t="s">
        <v>24</v>
      </c>
      <c r="C74" s="97"/>
      <c r="D74" s="97"/>
      <c r="E74" s="97"/>
    </row>
    <row r="75" spans="2:5" ht="15">
      <c r="B75" s="98" t="s">
        <v>29</v>
      </c>
      <c r="C75" s="97"/>
      <c r="D75" s="97"/>
      <c r="E75" s="97"/>
    </row>
    <row r="76" spans="2:5" ht="15">
      <c r="B76" s="97"/>
      <c r="C76" s="97"/>
      <c r="D76" s="97"/>
      <c r="E76" s="97"/>
    </row>
    <row r="77" spans="2:5" ht="15">
      <c r="B77" s="97"/>
      <c r="C77" s="97"/>
      <c r="D77" s="97"/>
      <c r="E77" s="97"/>
    </row>
    <row r="78" spans="2:5" ht="15">
      <c r="B78" s="97"/>
      <c r="C78" s="97"/>
      <c r="D78" s="97"/>
      <c r="E78" s="97"/>
    </row>
    <row r="79" spans="2:5" ht="15">
      <c r="B79" s="97" t="s">
        <v>48</v>
      </c>
      <c r="C79" s="97"/>
      <c r="D79" s="97"/>
      <c r="E79" s="97"/>
    </row>
    <row r="80" spans="2:5" ht="15">
      <c r="B80" s="97" t="s">
        <v>49</v>
      </c>
      <c r="C80" s="97"/>
      <c r="D80" s="97"/>
      <c r="E80" s="97"/>
    </row>
    <row r="81" spans="2:5" ht="15">
      <c r="B81" s="97"/>
      <c r="C81" s="97"/>
      <c r="D81" s="97"/>
      <c r="E81" s="97"/>
    </row>
    <row r="82" spans="2:5" ht="15">
      <c r="B82" s="97" t="s">
        <v>47</v>
      </c>
      <c r="C82" s="97"/>
      <c r="D82" s="97"/>
      <c r="E82" s="97"/>
    </row>
    <row r="83" spans="2:5" ht="15">
      <c r="B83" s="97">
        <v>1</v>
      </c>
      <c r="C83" s="97"/>
      <c r="D83" s="97"/>
      <c r="E83" s="97"/>
    </row>
    <row r="84" spans="2:5" ht="15">
      <c r="B84" s="97">
        <v>2</v>
      </c>
      <c r="C84" s="97"/>
      <c r="D84" s="97"/>
      <c r="E84" s="97"/>
    </row>
    <row r="85" spans="2:5" ht="15">
      <c r="B85" s="97">
        <v>3</v>
      </c>
      <c r="C85" s="97"/>
      <c r="D85" s="97"/>
      <c r="E85" s="97"/>
    </row>
    <row r="86" spans="2:5" ht="15">
      <c r="B86" s="97">
        <v>4</v>
      </c>
      <c r="C86" s="97"/>
      <c r="D86" s="97"/>
      <c r="E86" s="97"/>
    </row>
    <row r="87" spans="2:5" ht="15">
      <c r="B87" s="97"/>
      <c r="C87" s="97"/>
      <c r="D87" s="97"/>
      <c r="E87" s="97"/>
    </row>
    <row r="88" spans="2:5" ht="15">
      <c r="B88" s="97"/>
      <c r="C88" s="97"/>
      <c r="D88" s="97"/>
      <c r="E88" s="97"/>
    </row>
    <row r="89" spans="2:5" ht="15">
      <c r="B89" s="97"/>
      <c r="C89" s="97"/>
      <c r="D89" s="97"/>
      <c r="E89" s="97"/>
    </row>
    <row r="90" spans="2:5" ht="15">
      <c r="B90" s="97">
        <v>0</v>
      </c>
      <c r="C90" s="97"/>
      <c r="D90" s="97"/>
      <c r="E90" s="97"/>
    </row>
    <row r="91" spans="2:5" ht="15">
      <c r="B91" s="99">
        <v>0.05</v>
      </c>
      <c r="C91" s="97"/>
      <c r="D91" s="97"/>
      <c r="E91" s="97"/>
    </row>
    <row r="92" spans="2:5" ht="15">
      <c r="B92" s="99">
        <v>0.1</v>
      </c>
      <c r="C92" s="97"/>
      <c r="D92" s="97"/>
      <c r="E92" s="97"/>
    </row>
    <row r="93" spans="2:5" ht="15">
      <c r="B93" s="99">
        <v>0.15</v>
      </c>
      <c r="C93" s="97"/>
      <c r="D93" s="97"/>
      <c r="E93" s="97"/>
    </row>
    <row r="94" spans="2:5" ht="15">
      <c r="B94" s="97"/>
      <c r="C94" s="97"/>
      <c r="D94" s="97"/>
      <c r="E94" s="97"/>
    </row>
    <row r="95" spans="2:5" ht="15">
      <c r="B95" s="97"/>
      <c r="C95" s="97"/>
      <c r="D95" s="97"/>
      <c r="E95" s="97"/>
    </row>
    <row r="96" spans="2:5" ht="15">
      <c r="B96" s="97" t="s">
        <v>47</v>
      </c>
      <c r="C96" s="97"/>
      <c r="D96" s="97"/>
      <c r="E96" s="97"/>
    </row>
    <row r="97" spans="2:5" ht="15">
      <c r="B97" s="97" t="s">
        <v>54</v>
      </c>
      <c r="C97" s="97"/>
      <c r="D97" s="97"/>
      <c r="E97" s="97"/>
    </row>
    <row r="98" spans="2:5" ht="15">
      <c r="B98" s="97" t="s">
        <v>55</v>
      </c>
      <c r="C98" s="97"/>
      <c r="D98" s="97"/>
      <c r="E98" s="97"/>
    </row>
    <row r="99" spans="2:5" ht="15">
      <c r="B99" s="97"/>
      <c r="C99" s="97"/>
      <c r="D99" s="97"/>
      <c r="E99" s="97"/>
    </row>
    <row r="100" spans="2:5" ht="15">
      <c r="B100" s="97"/>
      <c r="C100" s="97"/>
      <c r="D100" s="97"/>
      <c r="E100" s="97"/>
    </row>
    <row r="101" spans="2:5" ht="15">
      <c r="B101" s="97"/>
      <c r="C101" s="97"/>
      <c r="D101" s="97"/>
      <c r="E101" s="97"/>
    </row>
    <row r="102" spans="2:5" ht="15">
      <c r="B102" s="97"/>
      <c r="C102" s="97"/>
      <c r="D102" s="97"/>
      <c r="E102" s="97"/>
    </row>
    <row r="103" spans="2:5" ht="15">
      <c r="B103" s="97"/>
      <c r="C103" s="97"/>
      <c r="D103" s="97"/>
      <c r="E103" s="97"/>
    </row>
    <row r="104" spans="2:5" ht="15">
      <c r="B104" s="97"/>
      <c r="C104" s="97"/>
      <c r="D104" s="97"/>
      <c r="E104" s="97"/>
    </row>
    <row r="105" spans="2:5" ht="15">
      <c r="B105" s="97"/>
      <c r="C105" s="97"/>
      <c r="D105" s="97"/>
      <c r="E105" s="97"/>
    </row>
    <row r="106" spans="2:5" ht="15">
      <c r="B106" s="97"/>
      <c r="C106" s="97"/>
      <c r="D106" s="97"/>
      <c r="E106" s="97"/>
    </row>
    <row r="107" spans="2:5" ht="15">
      <c r="B107" s="97"/>
      <c r="C107" s="97"/>
      <c r="D107" s="97"/>
      <c r="E107" s="97"/>
    </row>
    <row r="108" spans="2:5" ht="15">
      <c r="B108" s="97"/>
      <c r="C108" s="97"/>
      <c r="D108" s="97"/>
      <c r="E108" s="97"/>
    </row>
    <row r="117" spans="12:16" ht="15">
      <c r="L117" s="97"/>
      <c r="M117" s="97"/>
      <c r="N117" s="97"/>
      <c r="O117" s="97"/>
      <c r="P117" s="97"/>
    </row>
    <row r="118" spans="12:16" ht="15">
      <c r="L118" s="97"/>
      <c r="M118" s="97"/>
      <c r="N118" s="97"/>
      <c r="O118" s="97"/>
      <c r="P118" s="97"/>
    </row>
    <row r="119" spans="12:16" ht="15">
      <c r="L119" s="97"/>
      <c r="M119" s="97">
        <v>1</v>
      </c>
      <c r="N119" s="97"/>
      <c r="O119" s="97"/>
      <c r="P119" s="97"/>
    </row>
    <row r="120" spans="12:16" ht="15">
      <c r="L120" s="97"/>
      <c r="M120" s="97">
        <v>2</v>
      </c>
      <c r="N120" s="97"/>
      <c r="O120" s="97"/>
      <c r="P120" s="97"/>
    </row>
    <row r="121" spans="12:16" ht="15">
      <c r="L121" s="97"/>
      <c r="M121" s="97">
        <v>3</v>
      </c>
      <c r="N121" s="97"/>
      <c r="O121" s="97"/>
      <c r="P121" s="97"/>
    </row>
    <row r="122" spans="12:16" ht="15">
      <c r="L122" s="97"/>
      <c r="M122" s="97">
        <v>4</v>
      </c>
      <c r="N122" s="97"/>
      <c r="O122" s="97"/>
      <c r="P122" s="97"/>
    </row>
    <row r="123" spans="12:16" ht="15">
      <c r="L123" s="97"/>
      <c r="M123" s="97">
        <v>5</v>
      </c>
      <c r="N123" s="97"/>
      <c r="O123" s="97"/>
      <c r="P123" s="97"/>
    </row>
    <row r="124" spans="12:16" ht="15">
      <c r="L124" s="97"/>
      <c r="M124" s="97">
        <v>6</v>
      </c>
      <c r="N124" s="97"/>
      <c r="O124" s="97"/>
      <c r="P124" s="97"/>
    </row>
    <row r="125" spans="12:16" ht="15">
      <c r="L125" s="97"/>
      <c r="M125" s="97">
        <v>7</v>
      </c>
      <c r="N125" s="97"/>
      <c r="O125" s="97"/>
      <c r="P125" s="97"/>
    </row>
    <row r="126" spans="12:16" ht="15">
      <c r="L126" s="97"/>
      <c r="M126" s="97">
        <v>8</v>
      </c>
      <c r="N126" s="97"/>
      <c r="O126" s="97"/>
      <c r="P126" s="97"/>
    </row>
    <row r="127" spans="12:16" ht="15">
      <c r="L127" s="97"/>
      <c r="M127" s="97">
        <v>9</v>
      </c>
      <c r="N127" s="97"/>
      <c r="O127" s="97"/>
      <c r="P127" s="97"/>
    </row>
    <row r="128" spans="12:16" ht="15">
      <c r="L128" s="97"/>
      <c r="M128" s="97">
        <v>10</v>
      </c>
      <c r="N128" s="97"/>
      <c r="O128" s="97"/>
      <c r="P128" s="97"/>
    </row>
    <row r="207" ht="15">
      <c r="C207" s="230" t="s">
        <v>47</v>
      </c>
    </row>
    <row r="208" ht="15">
      <c r="C208" s="230">
        <v>1</v>
      </c>
    </row>
    <row r="209" ht="15">
      <c r="C209" s="230">
        <v>2</v>
      </c>
    </row>
    <row r="210" ht="15">
      <c r="C210" s="230">
        <v>3</v>
      </c>
    </row>
    <row r="211" ht="15">
      <c r="C211" s="230">
        <v>4</v>
      </c>
    </row>
    <row r="212" ht="15">
      <c r="C212" s="230" t="s">
        <v>82</v>
      </c>
    </row>
  </sheetData>
  <sheetProtection/>
  <dataValidations count="10">
    <dataValidation type="list" allowBlank="1" showInputMessage="1" showErrorMessage="1" sqref="C60">
      <formula1>$M$119:$M$128</formula1>
    </dataValidation>
    <dataValidation type="list" allowBlank="1" showInputMessage="1" showErrorMessage="1" sqref="C54 I54">
      <formula1>$B$96:$B$98</formula1>
    </dataValidation>
    <dataValidation type="list" allowBlank="1" showInputMessage="1" showErrorMessage="1" sqref="C56 I56">
      <formula1>$B$90:$B$93</formula1>
    </dataValidation>
    <dataValidation type="list" allowBlank="1" showInputMessage="1" showErrorMessage="1" sqref="C20:C21 I49 I20:I21 C49:C51">
      <formula1>$B$82:$B$86</formula1>
    </dataValidation>
    <dataValidation type="list" allowBlank="1" showInputMessage="1" showErrorMessage="1" sqref="B80 C12 C23:C29 C45:C48 C55 C39 I39 I12 I23:I29 I45:I48 I51 I53 C52:C53">
      <formula1>$B$79:$B$80</formula1>
    </dataValidation>
    <dataValidation allowBlank="1" sqref="H65"/>
    <dataValidation type="list" allowBlank="1" sqref="B65">
      <formula1>Оплата</formula1>
    </dataValidation>
    <dataValidation type="list" allowBlank="1" sqref="B1">
      <formula1>Адреса</formula1>
    </dataValidation>
    <dataValidation type="list" allowBlank="1" showInputMessage="1" showErrorMessage="1" sqref="C9">
      <formula1>$C$207:$C$212</formula1>
    </dataValidation>
    <dataValidation type="list" allowBlank="1" showInputMessage="1" showErrorMessage="1" sqref="C7:C8 C11">
      <formula1>$B$80:$B$81</formula1>
    </dataValidation>
  </dataValidations>
  <printOptions/>
  <pageMargins left="0.6299212598425197" right="0.6299212598425197" top="0" bottom="0" header="0.1968503937007874" footer="0.31496062992125984"/>
  <pageSetup fitToHeight="0" fitToWidth="1" orientation="landscape" pageOrder="overThenDown" paperSize="11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M2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28125" style="0" customWidth="1"/>
    <col min="2" max="2" width="20.57421875" style="0" customWidth="1"/>
    <col min="3" max="3" width="12.421875" style="0" customWidth="1"/>
    <col min="4" max="4" width="5.7109375" style="0" customWidth="1"/>
    <col min="5" max="5" width="7.00390625" style="0" customWidth="1"/>
    <col min="6" max="6" width="6.57421875" style="0" customWidth="1"/>
    <col min="7" max="7" width="6.8515625" style="0" customWidth="1"/>
    <col min="8" max="8" width="7.28125" style="0" customWidth="1"/>
    <col min="10" max="10" width="8.57421875" style="0" customWidth="1"/>
    <col min="11" max="11" width="9.7109375" style="0" customWidth="1"/>
    <col min="12" max="12" width="11.00390625" style="0" customWidth="1"/>
    <col min="13" max="13" width="12.8515625" style="0" customWidth="1"/>
  </cols>
  <sheetData>
    <row r="1" spans="1:13" ht="15.75" thickBot="1">
      <c r="A1" s="12"/>
      <c r="B1" s="12"/>
      <c r="C1" s="12"/>
      <c r="D1" s="12"/>
      <c r="E1" s="12"/>
      <c r="F1" s="12"/>
      <c r="G1" s="12"/>
      <c r="H1" s="12"/>
      <c r="I1" s="11"/>
      <c r="J1" s="12"/>
      <c r="K1" s="12"/>
      <c r="L1" s="12" t="s">
        <v>11</v>
      </c>
      <c r="M1" t="s">
        <v>19</v>
      </c>
    </row>
    <row r="2" spans="1:13" ht="18" customHeight="1" thickBot="1">
      <c r="A2" s="11"/>
      <c r="B2" s="15"/>
      <c r="C2" s="16" t="s">
        <v>14</v>
      </c>
      <c r="D2" s="17"/>
      <c r="E2" s="17" t="s">
        <v>20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22"/>
      <c r="M2" s="23"/>
    </row>
    <row r="3" spans="1:13" ht="23.25" thickBot="1">
      <c r="A3" s="14"/>
      <c r="B3" s="100" t="s">
        <v>90</v>
      </c>
      <c r="C3" s="101" t="s">
        <v>17</v>
      </c>
      <c r="D3" s="102">
        <v>1815</v>
      </c>
      <c r="E3" s="103">
        <f>D3+1000</f>
        <v>2815</v>
      </c>
      <c r="F3" s="104">
        <f aca="true" t="shared" si="0" ref="F3:F9">0.4*0.6*E3</f>
        <v>675.6</v>
      </c>
      <c r="G3" s="104">
        <f aca="true" t="shared" si="1" ref="G3:G9">0.5*0.6*E3</f>
        <v>844.5</v>
      </c>
      <c r="H3" s="104">
        <f aca="true" t="shared" si="2" ref="H3:H9">0.6*0.7*E3</f>
        <v>1182.3</v>
      </c>
      <c r="I3" s="104">
        <f aca="true" t="shared" si="3" ref="I3:I9">0.6*0.8*E3</f>
        <v>1351.2</v>
      </c>
      <c r="J3" s="104">
        <f aca="true" t="shared" si="4" ref="J3:J9">0.6*0.9*E3</f>
        <v>1520.1000000000001</v>
      </c>
      <c r="K3" s="104">
        <f aca="true" t="shared" si="5" ref="K3:K9">1*1.5*E3</f>
        <v>4222.5</v>
      </c>
      <c r="L3" s="105">
        <f>L2*M2*D3</f>
        <v>0</v>
      </c>
      <c r="M3" s="106">
        <f>IF(L2*M2&gt;=3,L2*M2*E3*0.9,IF(L2*M2&gt;=1.5,L2*M2*E3*0.95,L2*M2*E3))</f>
        <v>0</v>
      </c>
    </row>
    <row r="4" spans="1:13" ht="15.75" thickBot="1">
      <c r="A4" s="11"/>
      <c r="B4" s="107" t="s">
        <v>91</v>
      </c>
      <c r="C4" s="108" t="s">
        <v>17</v>
      </c>
      <c r="D4" s="109">
        <v>1980</v>
      </c>
      <c r="E4" s="103">
        <f aca="true" t="shared" si="6" ref="E4:E9">D4+1000</f>
        <v>2980</v>
      </c>
      <c r="F4" s="110">
        <f t="shared" si="0"/>
        <v>715.1999999999999</v>
      </c>
      <c r="G4" s="110">
        <f t="shared" si="1"/>
        <v>894</v>
      </c>
      <c r="H4" s="110">
        <f t="shared" si="2"/>
        <v>1251.6</v>
      </c>
      <c r="I4" s="110">
        <f t="shared" si="3"/>
        <v>1430.3999999999999</v>
      </c>
      <c r="J4" s="110">
        <f t="shared" si="4"/>
        <v>1609.2</v>
      </c>
      <c r="K4" s="110">
        <f t="shared" si="5"/>
        <v>4470</v>
      </c>
      <c r="L4" s="111">
        <f>L2*M2*D4</f>
        <v>0</v>
      </c>
      <c r="M4" s="112">
        <f>IF(L2*M2&gt;=3,L2*M2*E4*0.9,IF(L2*M2&gt;=1.5,L2*M2*E4*0.95,L2*M2*E4))</f>
        <v>0</v>
      </c>
    </row>
    <row r="5" spans="1:13" ht="30.75" thickBot="1">
      <c r="A5" s="14"/>
      <c r="B5" s="113" t="s">
        <v>92</v>
      </c>
      <c r="C5" s="108" t="s">
        <v>17</v>
      </c>
      <c r="D5" s="111">
        <v>3795</v>
      </c>
      <c r="E5" s="103">
        <f t="shared" si="6"/>
        <v>4795</v>
      </c>
      <c r="F5" s="110">
        <f t="shared" si="0"/>
        <v>1150.8</v>
      </c>
      <c r="G5" s="110">
        <f t="shared" si="1"/>
        <v>1438.5</v>
      </c>
      <c r="H5" s="110">
        <f t="shared" si="2"/>
        <v>2013.8999999999999</v>
      </c>
      <c r="I5" s="110">
        <f t="shared" si="3"/>
        <v>2301.6</v>
      </c>
      <c r="J5" s="110">
        <f t="shared" si="4"/>
        <v>2589.3</v>
      </c>
      <c r="K5" s="110">
        <f t="shared" si="5"/>
        <v>7192.5</v>
      </c>
      <c r="L5" s="111">
        <f>L2*M2*D5</f>
        <v>0</v>
      </c>
      <c r="M5" s="112">
        <f>IF(L2*M2&gt;=3,L2*M2*E5*0.9,IF(L2*M2&gt;=1.5,L2*M2*E5*0.95,L2*M2*E5))</f>
        <v>0</v>
      </c>
    </row>
    <row r="6" spans="1:13" ht="23.25" thickBot="1">
      <c r="A6" s="11"/>
      <c r="B6" s="114" t="s">
        <v>93</v>
      </c>
      <c r="C6" s="115" t="s">
        <v>15</v>
      </c>
      <c r="D6" s="116">
        <v>2200</v>
      </c>
      <c r="E6" s="117">
        <f t="shared" si="6"/>
        <v>3200</v>
      </c>
      <c r="F6" s="71">
        <f t="shared" si="0"/>
        <v>768</v>
      </c>
      <c r="G6" s="71">
        <f t="shared" si="1"/>
        <v>960</v>
      </c>
      <c r="H6" s="71">
        <f t="shared" si="2"/>
        <v>1344</v>
      </c>
      <c r="I6" s="71">
        <f t="shared" si="3"/>
        <v>1536</v>
      </c>
      <c r="J6" s="71">
        <f t="shared" si="4"/>
        <v>1728</v>
      </c>
      <c r="K6" s="71">
        <f t="shared" si="5"/>
        <v>4800</v>
      </c>
      <c r="L6" s="118">
        <f>L2*M2*D6</f>
        <v>0</v>
      </c>
      <c r="M6" s="119">
        <f>IF(L2*M2&gt;=3,L2*M2*E6*0.9,IF(L2*M2&gt;=1.5,L2*M5*E6*0.95,L2*M2*E6))</f>
        <v>0</v>
      </c>
    </row>
    <row r="7" spans="1:13" ht="23.25" thickBot="1">
      <c r="A7" s="11"/>
      <c r="B7" s="114" t="s">
        <v>94</v>
      </c>
      <c r="C7" s="115" t="s">
        <v>18</v>
      </c>
      <c r="D7" s="116">
        <v>3619</v>
      </c>
      <c r="E7" s="117">
        <f t="shared" si="6"/>
        <v>4619</v>
      </c>
      <c r="F7" s="71">
        <f t="shared" si="0"/>
        <v>1108.56</v>
      </c>
      <c r="G7" s="71">
        <f t="shared" si="1"/>
        <v>1385.7</v>
      </c>
      <c r="H7" s="71">
        <f t="shared" si="2"/>
        <v>1939.98</v>
      </c>
      <c r="I7" s="71">
        <f t="shared" si="3"/>
        <v>2217.12</v>
      </c>
      <c r="J7" s="71">
        <f t="shared" si="4"/>
        <v>2494.26</v>
      </c>
      <c r="K7" s="71">
        <f t="shared" si="5"/>
        <v>6928.5</v>
      </c>
      <c r="L7" s="118">
        <f>L2*M2*D7</f>
        <v>0</v>
      </c>
      <c r="M7" s="119">
        <f>IF(L2*M2&gt;=3,L2*M2*E7*0.9,IF(L2*M2&gt;=1.5,L2*M2*E7*0.95,L2*M2*E7))</f>
        <v>0</v>
      </c>
    </row>
    <row r="8" spans="1:13" ht="34.5" thickBot="1">
      <c r="A8" s="11"/>
      <c r="B8" s="114" t="s">
        <v>95</v>
      </c>
      <c r="C8" s="120" t="s">
        <v>16</v>
      </c>
      <c r="D8" s="121">
        <v>2750</v>
      </c>
      <c r="E8" s="122">
        <f t="shared" si="6"/>
        <v>3750</v>
      </c>
      <c r="F8" s="123">
        <f t="shared" si="0"/>
        <v>900</v>
      </c>
      <c r="G8" s="123">
        <f t="shared" si="1"/>
        <v>1125</v>
      </c>
      <c r="H8" s="123">
        <f t="shared" si="2"/>
        <v>1575</v>
      </c>
      <c r="I8" s="123">
        <f t="shared" si="3"/>
        <v>1800</v>
      </c>
      <c r="J8" s="123">
        <f t="shared" si="4"/>
        <v>2025.0000000000002</v>
      </c>
      <c r="K8" s="123">
        <f t="shared" si="5"/>
        <v>5625</v>
      </c>
      <c r="L8" s="124">
        <f>L2*M2*D8</f>
        <v>0</v>
      </c>
      <c r="M8" s="125">
        <f>IF(L2*M2&gt;=3,L2*M2*E8*0.9,IF(L2*M2&gt;=1.5,L2*M2*E8*0.95,L2*M2*E8))</f>
        <v>0</v>
      </c>
    </row>
    <row r="9" spans="1:13" ht="30.75" thickBot="1">
      <c r="A9" s="12"/>
      <c r="B9" s="126" t="s">
        <v>96</v>
      </c>
      <c r="C9" s="127" t="s">
        <v>97</v>
      </c>
      <c r="D9" s="116">
        <v>2750</v>
      </c>
      <c r="E9" s="128">
        <f t="shared" si="6"/>
        <v>3750</v>
      </c>
      <c r="F9" s="71">
        <f t="shared" si="0"/>
        <v>900</v>
      </c>
      <c r="G9" s="71">
        <f t="shared" si="1"/>
        <v>1125</v>
      </c>
      <c r="H9" s="71">
        <f t="shared" si="2"/>
        <v>1575</v>
      </c>
      <c r="I9" s="71">
        <f t="shared" si="3"/>
        <v>1800</v>
      </c>
      <c r="J9" s="71">
        <f t="shared" si="4"/>
        <v>2025.0000000000002</v>
      </c>
      <c r="K9" s="71">
        <f t="shared" si="5"/>
        <v>5625</v>
      </c>
      <c r="L9" s="118">
        <f>L3*M3*D9</f>
        <v>0</v>
      </c>
      <c r="M9" s="71">
        <f>IF(L3*M3&gt;=3,L3*M3*E9*0.9,IF(L3*M3&gt;=1.5,L3*M3*E9*0.95,L3*M3*E9))</f>
        <v>0</v>
      </c>
    </row>
    <row r="10" spans="1:12" ht="15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4"/>
      <c r="B11" s="4"/>
      <c r="C11" s="4"/>
      <c r="D11" s="4"/>
      <c r="E11" s="4"/>
      <c r="F11" s="4"/>
      <c r="G11" s="4"/>
      <c r="H11" s="4"/>
      <c r="I11" s="3"/>
      <c r="J11" s="4"/>
      <c r="K11" s="4"/>
      <c r="L11" s="4"/>
    </row>
    <row r="12" spans="1:12" ht="15">
      <c r="A12" s="3"/>
      <c r="B12" s="5"/>
      <c r="C12" s="5"/>
      <c r="D12" s="3"/>
      <c r="E12" s="3"/>
      <c r="F12" s="3"/>
      <c r="G12" s="3"/>
      <c r="H12" s="3"/>
      <c r="I12" s="3"/>
      <c r="J12" s="4"/>
      <c r="K12" s="4"/>
      <c r="L12" s="4"/>
    </row>
    <row r="13" spans="1:12" ht="15">
      <c r="A13" s="6"/>
      <c r="B13" s="5"/>
      <c r="C13" s="7"/>
      <c r="D13" s="3"/>
      <c r="E13" s="3"/>
      <c r="F13" s="3"/>
      <c r="G13" s="3"/>
      <c r="H13" s="3"/>
      <c r="I13" s="3"/>
      <c r="J13" s="4"/>
      <c r="K13" s="8"/>
      <c r="L13" s="4"/>
    </row>
    <row r="14" spans="1:12" ht="15">
      <c r="A14" s="6"/>
      <c r="B14" s="5"/>
      <c r="C14" s="7"/>
      <c r="D14" s="3"/>
      <c r="E14" s="3"/>
      <c r="F14" s="3"/>
      <c r="G14" s="3"/>
      <c r="H14" s="3"/>
      <c r="I14" s="3"/>
      <c r="J14" s="4"/>
      <c r="K14" s="8"/>
      <c r="L14" s="4"/>
    </row>
    <row r="15" spans="1:12" ht="15">
      <c r="A15" s="3"/>
      <c r="B15" s="5"/>
      <c r="C15" s="7"/>
      <c r="D15" s="3"/>
      <c r="E15" s="3"/>
      <c r="F15" s="3"/>
      <c r="G15" s="3"/>
      <c r="H15" s="3"/>
      <c r="I15" s="3"/>
      <c r="J15" s="4"/>
      <c r="K15" s="8"/>
      <c r="L15" s="4"/>
    </row>
    <row r="16" ht="15">
      <c r="A16" s="6"/>
    </row>
    <row r="17" ht="15">
      <c r="A17" s="3"/>
    </row>
    <row r="18" ht="15">
      <c r="A18" s="3"/>
    </row>
    <row r="19" ht="15">
      <c r="A19" s="4"/>
    </row>
    <row r="23" spans="2:11" ht="15">
      <c r="B23" s="10"/>
      <c r="C23" s="10"/>
      <c r="D23" s="10"/>
      <c r="E23" s="10"/>
      <c r="F23" s="4"/>
      <c r="G23" s="4"/>
      <c r="H23" s="4"/>
      <c r="I23" s="4"/>
      <c r="J23" s="4"/>
      <c r="K23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</dc:creator>
  <cp:keywords/>
  <dc:description/>
  <cp:lastModifiedBy>Магнит</cp:lastModifiedBy>
  <cp:lastPrinted>2015-01-18T10:27:13Z</cp:lastPrinted>
  <dcterms:created xsi:type="dcterms:W3CDTF">2011-12-08T07:16:55Z</dcterms:created>
  <dcterms:modified xsi:type="dcterms:W3CDTF">2015-03-22T12:37:03Z</dcterms:modified>
  <cp:category/>
  <cp:version/>
  <cp:contentType/>
  <cp:contentStatus/>
</cp:coreProperties>
</file>