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25" windowWidth="15120" windowHeight="3690" tabRatio="726" firstSheet="1" activeTab="2"/>
  </bookViews>
  <sheets>
    <sheet name="10.2001" sheetId="1" r:id="rId1"/>
    <sheet name="01" sheetId="2" r:id="rId2"/>
    <sheet name="ДДС" sheetId="3" r:id="rId3"/>
    <sheet name="динамика кл. базы" sheetId="4" r:id="rId4"/>
    <sheet name="номеклатуры" sheetId="5" r:id="rId5"/>
  </sheets>
  <externalReferences>
    <externalReference r:id="rId8"/>
  </externalReferences>
  <definedNames>
    <definedName name="_xlnm._FilterDatabase" localSheetId="1" hidden="1">'01'!$A$1:$X$133</definedName>
    <definedName name="_xlnm._FilterDatabase" localSheetId="0" hidden="1">'10.2001'!$B$1:$S$26</definedName>
    <definedName name="_xlnm._FilterDatabase" localSheetId="3" hidden="1">'динамика кл. базы'!$A$1:$AT$142</definedName>
    <definedName name="Ассортимент">'[1]Поставщики '!$C$8:$C$83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E15" authorId="0">
      <text>
        <r>
          <rPr>
            <b/>
            <sz val="10"/>
            <rFont val="Tahoma"/>
            <family val="2"/>
          </rPr>
          <t>остатки от Домиллиона 13520/104 рулона = 130 тг за рулон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22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салфетки Карина</t>
        </r>
      </text>
    </comment>
    <comment ref="C23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5782 зева
59500 ветошь
10855 -эпл сити Фери
3117- станок
3387 - камэй 
6291 ИП Селиванова
2600 - МЕТРО-миф
1801 - Селиванова</t>
        </r>
      </text>
    </comment>
    <comment ref="B241" authorId="0">
      <text>
        <r>
          <rPr>
            <sz val="9"/>
            <rFont val="Tahoma"/>
            <family val="2"/>
          </rPr>
          <t xml:space="preserve">остаток в кассе на 31.12.12
</t>
        </r>
      </text>
    </comment>
    <comment ref="E23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3809 - МЕТРО (сомет+урна)
7370- урна
32000 - Арсенал (сушилки)
32000 - Арсенал (сушилки)
32630 - Абралы
34752 -Аламед урны</t>
        </r>
      </text>
    </comment>
    <comment ref="G216" authorId="0">
      <text>
        <r>
          <rPr>
            <sz val="9"/>
            <rFont val="Tahoma"/>
            <family val="2"/>
          </rPr>
          <t xml:space="preserve">16000 - Очнева фавельное полотно
</t>
        </r>
      </text>
    </comment>
    <comment ref="J2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20000 ПотенциалТехноГрупп
10872 
Вива Хайджин
68760- Успех
17000 -Арсенал</t>
        </r>
      </text>
    </comment>
    <comment ref="J23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Арсенал сушилка</t>
        </r>
      </text>
    </comment>
    <comment ref="L2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15315 Биола
9180 - радуга
8840 - Бум. завод</t>
        </r>
      </text>
    </comment>
    <comment ref="L14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Сату- сайт</t>
        </r>
      </text>
    </comment>
    <comment ref="L14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7900- Барашков ИП</t>
        </r>
      </text>
    </comment>
    <comment ref="L23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17100 - Центр посуды
7178 Прима
7500 базаргуль
8230- АМК
7500- Базаргуль
25000 - Фаб Индастриал</t>
        </r>
      </text>
    </comment>
    <comment ref="N216" authorId="0">
      <text>
        <r>
          <rPr>
            <sz val="9"/>
            <rFont val="Tahoma"/>
            <family val="2"/>
          </rPr>
          <t>75000- фаб инд.
56000- Арсенал
11400 - Посуда для всех
56000- Арсенал
232500 -СкайМакс</t>
        </r>
      </text>
    </comment>
    <comment ref="N234" authorId="0">
      <text>
        <r>
          <rPr>
            <sz val="9"/>
            <rFont val="Tahoma"/>
            <family val="2"/>
          </rPr>
          <t>240000 - центр посуды
51000 -Барахолка перчатки
8500 - -Барахолка перчатки
8452 Биола
1550 - Маолин
5000- АМК</t>
        </r>
      </text>
    </comment>
    <comment ref="N15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2800- мышка</t>
        </r>
      </text>
    </comment>
    <comment ref="N161" authorId="0">
      <text>
        <r>
          <rPr>
            <sz val="9"/>
            <rFont val="Tahoma"/>
            <family val="2"/>
          </rPr>
          <t xml:space="preserve">5000 - сату
</t>
        </r>
      </text>
    </comment>
    <comment ref="Q216" authorId="0">
      <text>
        <r>
          <rPr>
            <sz val="9"/>
            <rFont val="Tahoma"/>
            <family val="2"/>
          </rPr>
          <t>221445 Радуга
129500-Бланк сервис (автошампунь У-К)</t>
        </r>
      </text>
    </comment>
    <comment ref="Q234" authorId="0">
      <text>
        <r>
          <rPr>
            <sz val="9"/>
            <rFont val="Tahoma"/>
            <family val="2"/>
          </rPr>
          <t xml:space="preserve">754 -МЕТРО - Миф
</t>
        </r>
      </text>
    </comment>
    <comment ref="S23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15000 мао лин
5550 ПРИМА</t>
        </r>
      </text>
    </comment>
    <comment ref="S2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73000 -Тэ ГРОУ
95400 - Фаб индустриал</t>
        </r>
      </text>
    </comment>
    <comment ref="U234" authorId="0">
      <text>
        <r>
          <rPr>
            <b/>
            <sz val="9"/>
            <rFont val="Tahoma"/>
            <family val="2"/>
          </rPr>
          <t>5000-Пробнки
11400 Вильданова
7940 Биола
10220 Тазалау</t>
        </r>
      </text>
    </comment>
    <comment ref="U216" authorId="0">
      <text>
        <r>
          <rPr>
            <b/>
            <sz val="9"/>
            <rFont val="Tahoma"/>
            <family val="2"/>
          </rPr>
          <t>Панова ЕЛЕНА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<sst xmlns="http://schemas.openxmlformats.org/spreadsheetml/2006/main" count="1429" uniqueCount="724">
  <si>
    <t>Итого</t>
  </si>
  <si>
    <t xml:space="preserve">%прироста </t>
  </si>
  <si>
    <t>месяц</t>
  </si>
  <si>
    <t>% от товарооборота</t>
  </si>
  <si>
    <t>Офис-менеджер</t>
  </si>
  <si>
    <t>Менеджер по продажам</t>
  </si>
  <si>
    <t>Водитель - зав. Склад</t>
  </si>
  <si>
    <t>АРЕНДА офиса</t>
  </si>
  <si>
    <t>РАСХОДЫ ПО СВЯЗИ</t>
  </si>
  <si>
    <t>РАСХОДЫ на ГСМ</t>
  </si>
  <si>
    <t>ТРАНСПОРТНЫЕ РАСХОДЫ</t>
  </si>
  <si>
    <t>ХОЗЯЙСТВЕННЫЕ РАСХОДЫ</t>
  </si>
  <si>
    <t>% расходов от товарооборота</t>
  </si>
  <si>
    <t>факт</t>
  </si>
  <si>
    <t>Итого Фонд Заработной Платы:</t>
  </si>
  <si>
    <t>% от фин. результата товарооборота</t>
  </si>
  <si>
    <t>Организация Юр.название</t>
  </si>
  <si>
    <t>Наименование товара</t>
  </si>
  <si>
    <t>кол.</t>
  </si>
  <si>
    <t>цена факт</t>
  </si>
  <si>
    <t>итого</t>
  </si>
  <si>
    <t>нал.</t>
  </si>
  <si>
    <t>нал. с док.</t>
  </si>
  <si>
    <t>безнал.</t>
  </si>
  <si>
    <t>менеджер</t>
  </si>
  <si>
    <t>план</t>
  </si>
  <si>
    <t>грузчик</t>
  </si>
  <si>
    <t xml:space="preserve">Директор </t>
  </si>
  <si>
    <t>Заместитель Директора</t>
  </si>
  <si>
    <t>бонус за рентабельность Директор (5% от фин. Результата филиала)</t>
  </si>
  <si>
    <t>бонус за рентабельность зам директора (5% от фин. Результата филиала)</t>
  </si>
  <si>
    <t>ТРАНСПОРТНЫЕ РАСХОДЫ регионы</t>
  </si>
  <si>
    <t>БУХГАЛТЕРСКИЕ УСЛУГИ</t>
  </si>
  <si>
    <t>ОПЛАТА  ПОСТАВЩИКАМ</t>
  </si>
  <si>
    <t>ОПЕРАЦИОННЫЕ РАСХОДЫ</t>
  </si>
  <si>
    <t xml:space="preserve"> командный бонус Менеджер по продажам</t>
  </si>
  <si>
    <t xml:space="preserve">  командный бонус  Офис-менеджер</t>
  </si>
  <si>
    <t xml:space="preserve"> командный бонус  Водитель - зав. Склад</t>
  </si>
  <si>
    <t xml:space="preserve"> командный бонус  грузчик</t>
  </si>
  <si>
    <t>ПЛАН операционнфые расходы</t>
  </si>
  <si>
    <t>ПЛАН Капиталллизация</t>
  </si>
  <si>
    <t>ПЛАН оплата поставщикам</t>
  </si>
  <si>
    <t>ИНВЕСТИЦИИ</t>
  </si>
  <si>
    <t>ноут бук</t>
  </si>
  <si>
    <t>установка 1С</t>
  </si>
  <si>
    <t>изготовление сайта</t>
  </si>
  <si>
    <t>СП "Кока-Кола Алматы Боттлерс"</t>
  </si>
  <si>
    <t>Туалетная бумага "Evin Classic" в рулонах</t>
  </si>
  <si>
    <t>себестоимость</t>
  </si>
  <si>
    <t>поставщик</t>
  </si>
  <si>
    <t>Сонриса</t>
  </si>
  <si>
    <t>METROLUX PROPERTY MANAGEMENT</t>
  </si>
  <si>
    <t>Туалетная бумага Джамба 3сорт</t>
  </si>
  <si>
    <t>Бумажные полотенца "Evin Classic" 20,5/4,5 белые</t>
  </si>
  <si>
    <t>Санпепер</t>
  </si>
  <si>
    <t>в.д.</t>
  </si>
  <si>
    <t>НДС 1</t>
  </si>
  <si>
    <t>НДС 2</t>
  </si>
  <si>
    <t>общ. себестоимость</t>
  </si>
  <si>
    <t>НДС</t>
  </si>
  <si>
    <t>корп. налог.</t>
  </si>
  <si>
    <t>дата</t>
  </si>
  <si>
    <t>покупка кассового аппарата</t>
  </si>
  <si>
    <t>постановка на НДС</t>
  </si>
  <si>
    <t>AFC</t>
  </si>
  <si>
    <t>%  от товарооборота</t>
  </si>
  <si>
    <t xml:space="preserve">InterOil ТОО </t>
  </si>
  <si>
    <t>Канагатов ИП (кафе Штаб)</t>
  </si>
  <si>
    <t>маржа</t>
  </si>
  <si>
    <t>Риэлт Сервис</t>
  </si>
  <si>
    <t>Эллада салон красоты</t>
  </si>
  <si>
    <t>ST</t>
  </si>
  <si>
    <t>Т.б.  в рулонах "Evin Classic"</t>
  </si>
  <si>
    <t>Итого поступление денег</t>
  </si>
  <si>
    <t>другие</t>
  </si>
  <si>
    <t xml:space="preserve">Тадж кафе </t>
  </si>
  <si>
    <t>Собек-Сервис</t>
  </si>
  <si>
    <t>Аргус-Атырау</t>
  </si>
  <si>
    <t>пеногенератор 24 л. 8.2004</t>
  </si>
  <si>
    <t>ТРК Галлерея</t>
  </si>
  <si>
    <t>Собек</t>
  </si>
  <si>
    <t>дебиторка</t>
  </si>
  <si>
    <t>Глеб</t>
  </si>
  <si>
    <t>Рауан</t>
  </si>
  <si>
    <t>Данил</t>
  </si>
  <si>
    <t>Алматы хозторг</t>
  </si>
  <si>
    <t>инвентарь ST накл. 380 от 11.08.11</t>
  </si>
  <si>
    <t>Red Dragon</t>
  </si>
  <si>
    <t>ИПН (индивидуальный подоходный налог)</t>
  </si>
  <si>
    <t>ОПВ (обязательные пенс. Взносы)</t>
  </si>
  <si>
    <t>Соц. Налог</t>
  </si>
  <si>
    <t>автомойка Бастау</t>
  </si>
  <si>
    <t>Пылеводосос - СВ 20</t>
  </si>
  <si>
    <t>Пенокомплект</t>
  </si>
  <si>
    <t>Инесса</t>
  </si>
  <si>
    <t>погашение долга МЧ</t>
  </si>
  <si>
    <t>Стас</t>
  </si>
  <si>
    <t>Жумыс</t>
  </si>
  <si>
    <t>Корпоративный налог</t>
  </si>
  <si>
    <t>% операционные расходы от товарооборота</t>
  </si>
  <si>
    <t>остаток денежных средств в кассе</t>
  </si>
  <si>
    <t>остаток денежных средств на р/с</t>
  </si>
  <si>
    <t>Налоги с ФЗП</t>
  </si>
  <si>
    <t>% инвестиций от товарооборота</t>
  </si>
  <si>
    <t>%  НДС и корп. налога от товарооборота</t>
  </si>
  <si>
    <r>
      <t xml:space="preserve">фиксированная часть </t>
    </r>
    <r>
      <rPr>
        <b/>
        <i/>
        <sz val="8"/>
        <rFont val="Arial Cyr"/>
        <family val="0"/>
      </rPr>
      <t>к получению на руки</t>
    </r>
  </si>
  <si>
    <t>пенсионные взносы 10%</t>
  </si>
  <si>
    <t>социальный налог к начислению 11%</t>
  </si>
  <si>
    <t>социальные отчисления 5%</t>
  </si>
  <si>
    <t>соц. Налог к оплате</t>
  </si>
  <si>
    <t>индивидуальный подоходный налог 10%</t>
  </si>
  <si>
    <t>Итого налоги с ФЗП</t>
  </si>
  <si>
    <t xml:space="preserve">ЗП за минусом пенсионных отчислений </t>
  </si>
  <si>
    <t>З.П, К ПОЛУЧЕНИЮ</t>
  </si>
  <si>
    <t>расчет з.п. к получению</t>
  </si>
  <si>
    <t>фиксированная часть к начислению</t>
  </si>
  <si>
    <t>ИТОГО</t>
  </si>
  <si>
    <r>
      <t>премиальная часть</t>
    </r>
    <r>
      <rPr>
        <b/>
        <i/>
        <sz val="8"/>
        <color indexed="8"/>
        <rFont val="Arial Cyr"/>
        <family val="0"/>
      </rPr>
      <t xml:space="preserve"> к начислению</t>
    </r>
  </si>
  <si>
    <t>начальник отдела продаж</t>
  </si>
  <si>
    <t>CPS</t>
  </si>
  <si>
    <t>Эллада</t>
  </si>
  <si>
    <t>For Kense</t>
  </si>
  <si>
    <t>ECO 50 Запаска на швабру "ECO DAMP MOP"/50см, шт</t>
  </si>
  <si>
    <t>ECO 40 Запаска на швабру "ECO DAMP MOP"/40см, шт</t>
  </si>
  <si>
    <t>SA 120 Алюминевая ручка для держателя-швабры/120см</t>
  </si>
  <si>
    <t>МЧ</t>
  </si>
  <si>
    <t>Банк</t>
  </si>
  <si>
    <t>перечисленно наличных с кассы на р/с</t>
  </si>
  <si>
    <t>Наличными с документами</t>
  </si>
  <si>
    <t>валовый доход  за минусом НДС</t>
  </si>
  <si>
    <t>ПРИБЫЛЬ (без учета инвестиций)</t>
  </si>
  <si>
    <t>нал. с документами</t>
  </si>
  <si>
    <t>Итого расход (без учета инвестиций)</t>
  </si>
  <si>
    <t>Хан Елена</t>
  </si>
  <si>
    <t>AUM- Network</t>
  </si>
  <si>
    <t>Автомойка Саина-Шаляпина</t>
  </si>
  <si>
    <t>обслуживание ККМ</t>
  </si>
  <si>
    <t>3002008 Пакет мусорный 50х60 (35 Л)., шт</t>
  </si>
  <si>
    <t>Корп. налог с нарастающим итогом</t>
  </si>
  <si>
    <t>снято наличных с  р/с</t>
  </si>
  <si>
    <t>оплата НДС</t>
  </si>
  <si>
    <t>оплата КОРП. НАЛОГА</t>
  </si>
  <si>
    <t>Ч.Л. Уборщица</t>
  </si>
  <si>
    <t>Емшан &amp; Company</t>
  </si>
  <si>
    <t>AP 40 Стандартный держатель-швабра/40 см., шт</t>
  </si>
  <si>
    <t>ссуды сотрудникам</t>
  </si>
  <si>
    <t>чистый доход</t>
  </si>
  <si>
    <t>Итого прибыль</t>
  </si>
  <si>
    <t>возврат ссуды</t>
  </si>
  <si>
    <t>без.нал.</t>
  </si>
  <si>
    <t>АГИ</t>
  </si>
  <si>
    <t>Крем-мыло "АУРА" Дивный Сад (пэт-бутыль), 5000мл , шт</t>
  </si>
  <si>
    <t>300200152 Пакет 40,6 (19,7+19,7)*107,5*20 (120л), шт</t>
  </si>
  <si>
    <t>39.0011.04 Салфетка универсальная из микрофибры 40*40*300см, голубая</t>
  </si>
  <si>
    <t>Азовская ИП</t>
  </si>
  <si>
    <t>нал.без  документов</t>
  </si>
  <si>
    <t>Ч.Л. Леха</t>
  </si>
  <si>
    <t>итого ПРИБЫЛЬ с учетом инвестиций</t>
  </si>
  <si>
    <t>ART Roots</t>
  </si>
  <si>
    <t>ИТОГО       1-кв  2012</t>
  </si>
  <si>
    <t>ИТОГО       2-кв  2012</t>
  </si>
  <si>
    <t>% от ФЗП</t>
  </si>
  <si>
    <t>остаток денежных средств (касса+р/с)</t>
  </si>
  <si>
    <t>Hapilon</t>
  </si>
  <si>
    <t>Комета-М</t>
  </si>
  <si>
    <t>Автомойка выше Домиллиона</t>
  </si>
  <si>
    <t xml:space="preserve">автомойка Жандосова-Саина </t>
  </si>
  <si>
    <t>Медетбекова ИП</t>
  </si>
  <si>
    <t>Мерклен</t>
  </si>
  <si>
    <t>Перчатки гелевые</t>
  </si>
  <si>
    <t>BRX Supply &amp; Cervices</t>
  </si>
  <si>
    <t>КЛЯКСА</t>
  </si>
  <si>
    <t>Бастау Автомойка</t>
  </si>
  <si>
    <t>Автомойка Байзакова-БухарЖирау</t>
  </si>
  <si>
    <t>Мир Чистоты</t>
  </si>
  <si>
    <t>Бумага туалетная "Evin Classic" мини, рул</t>
  </si>
  <si>
    <t>A - Property</t>
  </si>
  <si>
    <t>Chaf management</t>
  </si>
  <si>
    <t>For Post</t>
  </si>
  <si>
    <t>Сизов ИП</t>
  </si>
  <si>
    <t>Рахимжан ИП</t>
  </si>
  <si>
    <t>Бэк Стейдж</t>
  </si>
  <si>
    <t>Баланез ресторан (Гоголя-Мира)</t>
  </si>
  <si>
    <t>Бексултанов ИП</t>
  </si>
  <si>
    <t>Кристалл Сервис</t>
  </si>
  <si>
    <t>Караоке Бар VIP My Tant</t>
  </si>
  <si>
    <t>КДС-Алматы</t>
  </si>
  <si>
    <t>Юр. Наименование</t>
  </si>
  <si>
    <t>Наименование (вывеска)</t>
  </si>
  <si>
    <t>тип клиента</t>
  </si>
  <si>
    <t>адрес</t>
  </si>
  <si>
    <t>тел.</t>
  </si>
  <si>
    <t>Мобильный</t>
  </si>
  <si>
    <t>контактное лицо</t>
  </si>
  <si>
    <t>e-mail</t>
  </si>
  <si>
    <t>автомойка</t>
  </si>
  <si>
    <t>Иссык ресторан</t>
  </si>
  <si>
    <t>Баланез ресторан</t>
  </si>
  <si>
    <t>Гоголя-Мира</t>
  </si>
  <si>
    <t>Мария</t>
  </si>
  <si>
    <t>Томило ресторан</t>
  </si>
  <si>
    <t>салон красоты</t>
  </si>
  <si>
    <t>р-н Фемили Парка</t>
  </si>
  <si>
    <t>Марина Васильевна</t>
  </si>
  <si>
    <t>Павлодар</t>
  </si>
  <si>
    <t>Тимирязева 42 а</t>
  </si>
  <si>
    <t>Газиза\Жамиля</t>
  </si>
  <si>
    <t>Галлерея</t>
  </si>
  <si>
    <t>Автомойка Досан</t>
  </si>
  <si>
    <t>Улы Тау ресторан</t>
  </si>
  <si>
    <t xml:space="preserve">Автомойка Анара </t>
  </si>
  <si>
    <t>Блэк Берри Кафе</t>
  </si>
  <si>
    <t>ул. Кабанбай батыра, 122, (уг. ул. Желтоксан)</t>
  </si>
  <si>
    <t>Максим</t>
  </si>
  <si>
    <t>Автомойка (Алтын Орда)</t>
  </si>
  <si>
    <t>Автомойка Реал</t>
  </si>
  <si>
    <t>Спорт</t>
  </si>
  <si>
    <t>Автомойка</t>
  </si>
  <si>
    <t>Офис</t>
  </si>
  <si>
    <t>Клининг</t>
  </si>
  <si>
    <t>HoReCa</t>
  </si>
  <si>
    <t>Каталожники</t>
  </si>
  <si>
    <t>ТРЦ</t>
  </si>
  <si>
    <t>Ч.Л. Инесса</t>
  </si>
  <si>
    <t>B-134 предупредительная табличка "МОКРЫЙ ПОЛ", шт</t>
  </si>
  <si>
    <t>The Caspian International Restaurants Company</t>
  </si>
  <si>
    <t>АЦЦХБ</t>
  </si>
  <si>
    <t>Диспенспер для жидкого мыла 0.5 л</t>
  </si>
  <si>
    <t>Мангало кафе</t>
  </si>
  <si>
    <t>Нотариус</t>
  </si>
  <si>
    <t>Life кафе</t>
  </si>
  <si>
    <t>Жанара</t>
  </si>
  <si>
    <t>дивиденды</t>
  </si>
  <si>
    <t>Al Saga  Итог</t>
  </si>
  <si>
    <t>Hapilon Итог</t>
  </si>
  <si>
    <t>The Caspian International Restaurants Company Итог</t>
  </si>
  <si>
    <t>Автомойка (Алтын Орда) Итог</t>
  </si>
  <si>
    <t>Автомойка Анара  Итог</t>
  </si>
  <si>
    <t>Автомойка Досан Итог</t>
  </si>
  <si>
    <t>Автомойка Шаляпина-Яссауи Итог</t>
  </si>
  <si>
    <t>АГИ Итог</t>
  </si>
  <si>
    <t>АЦЦХБ Итог</t>
  </si>
  <si>
    <t>Бастау Автомойка Итог</t>
  </si>
  <si>
    <t>Блэк Берри Кафе Итог</t>
  </si>
  <si>
    <t>Галлерея Итог</t>
  </si>
  <si>
    <t>Караоке Бар VIP My Tant Итог</t>
  </si>
  <si>
    <t>КЛЯКСА Итог</t>
  </si>
  <si>
    <t>Кристалл Сервис Итог</t>
  </si>
  <si>
    <t>Мангало кафе Итог</t>
  </si>
  <si>
    <t>Мерклен Итог</t>
  </si>
  <si>
    <t>Риэлт Сервис Итог</t>
  </si>
  <si>
    <t>Улы Тау ресторан Итог</t>
  </si>
  <si>
    <t>Хан Елена Итог</t>
  </si>
  <si>
    <t>Общий итог</t>
  </si>
  <si>
    <t>G.S.C Group Company</t>
  </si>
  <si>
    <t>East Realty</t>
  </si>
  <si>
    <t>Диспенспер для салфеток настольный, шт</t>
  </si>
  <si>
    <t>Техносервис</t>
  </si>
  <si>
    <t>Ч.Л. Женя</t>
  </si>
  <si>
    <t>Ч.Л.</t>
  </si>
  <si>
    <t>Полотенца бумажные (Z-уклад), шт</t>
  </si>
  <si>
    <t>ОСО (соц. Отчисления)</t>
  </si>
  <si>
    <t>Ч.Л. Жанара</t>
  </si>
  <si>
    <t>Ч.Л. Рауан</t>
  </si>
  <si>
    <t>ЛенКонцерт</t>
  </si>
  <si>
    <t xml:space="preserve">Ляззат кафе </t>
  </si>
  <si>
    <t>Жарокова-Ходжнова</t>
  </si>
  <si>
    <t>Рано</t>
  </si>
  <si>
    <t>Точка</t>
  </si>
  <si>
    <t>Виктор</t>
  </si>
  <si>
    <t>Честный Паб</t>
  </si>
  <si>
    <t>Симонова ИП</t>
  </si>
  <si>
    <t>Ч.Л. Махмут</t>
  </si>
  <si>
    <t>План продаж на 2011 -2012 год</t>
  </si>
  <si>
    <t>ИТОГО       3-кв  2012</t>
  </si>
  <si>
    <t>BRX Supply &amp; Cervices Итог</t>
  </si>
  <si>
    <t>East Realty Итог</t>
  </si>
  <si>
    <t>For Kense Итог</t>
  </si>
  <si>
    <t>G.S.C Group Company Итог</t>
  </si>
  <si>
    <t>Life кафе Итог</t>
  </si>
  <si>
    <t>ДС" (Dental Center) Итог</t>
  </si>
  <si>
    <t>Мир Чистоты Итог</t>
  </si>
  <si>
    <t>Техносервис Итог</t>
  </si>
  <si>
    <t>Ч.Л. Жанара Итог</t>
  </si>
  <si>
    <t>Ч.Л. Женя Итог</t>
  </si>
  <si>
    <t>Ч.Л. Леха Итог</t>
  </si>
  <si>
    <t>Ч.Л. Рауан Итог</t>
  </si>
  <si>
    <t>Эллада Итог</t>
  </si>
  <si>
    <t>гост. Казахстан</t>
  </si>
  <si>
    <t>Цесинстрой</t>
  </si>
  <si>
    <t>Вагазова ИП</t>
  </si>
  <si>
    <t>мед.</t>
  </si>
  <si>
    <t>ТолеБи (рядом с Элитной столовой)</t>
  </si>
  <si>
    <t>AFC Group</t>
  </si>
  <si>
    <t>Кайрат и Ко</t>
  </si>
  <si>
    <t>Диспенсер для мини полотенец сложение ZZ белый</t>
  </si>
  <si>
    <t>Кокмайса</t>
  </si>
  <si>
    <t>МСС-КИП Автоматика</t>
  </si>
  <si>
    <t>Medical Assistance Group</t>
  </si>
  <si>
    <t>SHEBERBUILD</t>
  </si>
  <si>
    <t>N.Ergo</t>
  </si>
  <si>
    <t>Центр Плова (Рыскулова-Саина)</t>
  </si>
  <si>
    <t>LL Bar</t>
  </si>
  <si>
    <t>LLBAR (Алматы комплект)</t>
  </si>
  <si>
    <r>
      <rPr>
        <b/>
        <sz val="11"/>
        <color indexed="17"/>
        <rFont val="Arial"/>
        <family val="2"/>
      </rPr>
      <t>финансовый результат</t>
    </r>
    <r>
      <rPr>
        <sz val="11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>(доход без учета  затрат на корпоративный налог и инвестиции, )</t>
    </r>
    <r>
      <rPr>
        <sz val="11"/>
        <color indexed="17"/>
        <rFont val="Arial"/>
        <family val="2"/>
      </rPr>
      <t xml:space="preserve"> </t>
    </r>
  </si>
  <si>
    <t xml:space="preserve">Пакет для мусора 35 л. плотные 10 мкр. Размер 50*60 В рулоне 50 шт. </t>
  </si>
  <si>
    <t>АМ Кантаж</t>
  </si>
  <si>
    <t>Торнадо (п.Капчагай)</t>
  </si>
  <si>
    <t>Global Innovative Network Com</t>
  </si>
  <si>
    <t>Анарбаева</t>
  </si>
  <si>
    <t>Туалетная бумага в рулонах c центральной вытяжкой Evin Lux белая 2-слойная 200 м.   (Турция)</t>
  </si>
  <si>
    <t>Кокшетауские минеральные воды</t>
  </si>
  <si>
    <t>Цептер Интернейшнл</t>
  </si>
  <si>
    <t>Ч.Л. (Чайка)</t>
  </si>
  <si>
    <t>ЧЛ виртуально</t>
  </si>
  <si>
    <t>Red Dragon (ИП Авершин)</t>
  </si>
  <si>
    <t>Al Saga</t>
  </si>
  <si>
    <t>KFC</t>
  </si>
  <si>
    <t>Автомойка Анара</t>
  </si>
  <si>
    <t>LL Bar Итог</t>
  </si>
  <si>
    <t>LLBAR (Алматы комплект) Итог</t>
  </si>
  <si>
    <t>Medical Assistance Group Итог</t>
  </si>
  <si>
    <t>N.Ergo Итог</t>
  </si>
  <si>
    <t>SHEBERBUILD Итог</t>
  </si>
  <si>
    <t>Вагазова ИП Итог</t>
  </si>
  <si>
    <t>Кайрат и Ко Итог</t>
  </si>
  <si>
    <t>ЛенКонцерт Итог</t>
  </si>
  <si>
    <t>Ляззат кафе  Итог</t>
  </si>
  <si>
    <t>МСС-КИП Автоматика Итог</t>
  </si>
  <si>
    <t>Симонова ИП Итог</t>
  </si>
  <si>
    <t>Точка Итог</t>
  </si>
  <si>
    <t>Центр Плова (Рыскулова-Саина) Итог</t>
  </si>
  <si>
    <t>Цесинстрой Итог</t>
  </si>
  <si>
    <t>Ч.Л. Итог</t>
  </si>
  <si>
    <t>Ч.Л. Уборщица Итог</t>
  </si>
  <si>
    <t>Честный Паб Итог</t>
  </si>
  <si>
    <t xml:space="preserve">ЖИЛИЩНО-ЭКСПЛУАТАЦИОННЫЙ УЧАСТОК </t>
  </si>
  <si>
    <t>Астана</t>
  </si>
  <si>
    <t>Света</t>
  </si>
  <si>
    <t>Саня</t>
  </si>
  <si>
    <t>Эллада Салон красоты</t>
  </si>
  <si>
    <t>Global Innovative Network Com Итог</t>
  </si>
  <si>
    <t>Red Dragon (ИП Авершин) Итог</t>
  </si>
  <si>
    <t>АМ Кантаж Итог</t>
  </si>
  <si>
    <t>Анарбаева Итог</t>
  </si>
  <si>
    <t>Кокшетауские минеральные воды Итог</t>
  </si>
  <si>
    <t>Сонриса Итог</t>
  </si>
  <si>
    <t>Торнадо (п.Капчагай) Итог</t>
  </si>
  <si>
    <t>Цептер Интернейшнл Итог</t>
  </si>
  <si>
    <t>Ч.Л. (Чайка) Итог</t>
  </si>
  <si>
    <t>Ч.Л. Махмут Итог</t>
  </si>
  <si>
    <t>ЧЛ виртуально Итог</t>
  </si>
  <si>
    <t>Элитная столовая</t>
  </si>
  <si>
    <t>Галлерея ТРК</t>
  </si>
  <si>
    <t>Сафари кафе (ИП Максат) Итог</t>
  </si>
  <si>
    <t>Сафари кафе (ИП Максат)</t>
  </si>
  <si>
    <t>Перчатки для уборки, гелевые (Китай)</t>
  </si>
  <si>
    <t>Медицинский центр ХАК</t>
  </si>
  <si>
    <t>Планета красоты</t>
  </si>
  <si>
    <t>Office-Expert.kz</t>
  </si>
  <si>
    <t xml:space="preserve">Туалетная бумага Evin Classic mini белая 2-слойная </t>
  </si>
  <si>
    <t>Полотенца листовые Evin Lux белые, 2-слойные Evin Lux Z -укладка  21*23 см  200 листов (Турция)</t>
  </si>
  <si>
    <t>La Frame Club</t>
  </si>
  <si>
    <t>Ifc Colos</t>
  </si>
  <si>
    <t>Академия Бар ИП Тасыбаева</t>
  </si>
  <si>
    <t>Диспенсерные настольные салфетки EVIN Lux 200 листов   (Турция)</t>
  </si>
  <si>
    <t>Имсталькон</t>
  </si>
  <si>
    <t>AFC Group Итог</t>
  </si>
  <si>
    <t>Ifc Colos Итог</t>
  </si>
  <si>
    <t>Баланез ресторан (Гоголя-Мира) Итог</t>
  </si>
  <si>
    <t>Имсталькон Итог</t>
  </si>
  <si>
    <t>Медицинский центр ХАК Итог</t>
  </si>
  <si>
    <t>Планета красоты Итог</t>
  </si>
  <si>
    <t>Полотенца  рулонные с центральной вытяжкой EVIN Lux белые 2-слойные, 20/4,5, 100м. (Турция)</t>
  </si>
  <si>
    <t>Автомойа Панорама</t>
  </si>
  <si>
    <t>Тригер красный (для щелочной жидкости) 650 мл, шт</t>
  </si>
  <si>
    <t>Акватория-Актобе</t>
  </si>
  <si>
    <t>Вика</t>
  </si>
  <si>
    <t>Sport Center</t>
  </si>
  <si>
    <t>Павлодарский нефтехимический завод</t>
  </si>
  <si>
    <t>РегионГазПроект</t>
  </si>
  <si>
    <t>Развлекательный комплекс "ЭХО"</t>
  </si>
  <si>
    <t>ТОЛ-Курылыс</t>
  </si>
  <si>
    <t>AUM- Network Итог</t>
  </si>
  <si>
    <t>Автомойа Панорама Итог</t>
  </si>
  <si>
    <t>Автомойка Реал Итог</t>
  </si>
  <si>
    <t>Академия Бар ИП Тасыбаева Итог</t>
  </si>
  <si>
    <t>Акватория-Актобе Итог</t>
  </si>
  <si>
    <t>Павлодарский нефтехимический завод Итог</t>
  </si>
  <si>
    <t>РегионГазПроект Итог</t>
  </si>
  <si>
    <t>ТОЛ-Курылыс Итог</t>
  </si>
  <si>
    <t xml:space="preserve">Автомойа Панорама </t>
  </si>
  <si>
    <t>Дистрибьютор</t>
  </si>
  <si>
    <t>офис</t>
  </si>
  <si>
    <t>Строй</t>
  </si>
  <si>
    <t>Ч.Л. Стас</t>
  </si>
  <si>
    <t>Жидкое крем-мыло AURA в бутыле, в ассортимента, 5л. (Россия) мелкий опт</t>
  </si>
  <si>
    <t>маркетинг</t>
  </si>
  <si>
    <t>Harmonia professional</t>
  </si>
  <si>
    <t>Уют Сервис</t>
  </si>
  <si>
    <t>Зи-Зи кафе (ИП Гиязов)</t>
  </si>
  <si>
    <t>Казанова (ИП Моненко)</t>
  </si>
  <si>
    <t>Жидкое крем-мыло NATUREL в бутыле, в ассортимента, 5л</t>
  </si>
  <si>
    <t>AP 50 Стандартный держатель-швабра/50 см., шт</t>
  </si>
  <si>
    <t>Автомойка Казкелен</t>
  </si>
  <si>
    <t>Полотенца рулонные Evin Mini (бытовые) белые  2-слойные ширина рулона 19 см. 15 м.(Казахстан)</t>
  </si>
  <si>
    <t xml:space="preserve">Полотенца листовые Evin Classic белые 2-слойные V-укладки, 22*25 см 400 листов (Казахстан) </t>
  </si>
  <si>
    <t>Автомойка Сабрина</t>
  </si>
  <si>
    <t>Brillant</t>
  </si>
  <si>
    <t>Purete</t>
  </si>
  <si>
    <t>Покрытия на унитаз бумажные, 250шт. (Турция)</t>
  </si>
  <si>
    <t>Перчатки для уборки, резиновые (Польша)</t>
  </si>
  <si>
    <t>Перчатки латексные, 50 пар. в упаковке. (Турция)</t>
  </si>
  <si>
    <t>ECOART 50</t>
  </si>
  <si>
    <t>SA140</t>
  </si>
  <si>
    <t>39.0011.04</t>
  </si>
  <si>
    <t>C-070</t>
  </si>
  <si>
    <t>C-074</t>
  </si>
  <si>
    <t>C-067</t>
  </si>
  <si>
    <t>C-057</t>
  </si>
  <si>
    <t>С-017С</t>
  </si>
  <si>
    <t>Пакет для мусора 120 л. плотные 20 мкр. В рулоне 10 шт. (Казахстан)</t>
  </si>
  <si>
    <t>APS 50</t>
  </si>
  <si>
    <t>B-046</t>
  </si>
  <si>
    <t>44.5001.04</t>
  </si>
  <si>
    <t>Тимур Чимкент</t>
  </si>
  <si>
    <t>Диспенсер для туалетной бумаги Jumbo (Джамбо), шт.</t>
  </si>
  <si>
    <t>C-101Вз Пад средний, диаметр 43 см., шт.</t>
  </si>
  <si>
    <t>Facility Service-Kazakhstan</t>
  </si>
  <si>
    <t>GMG Management</t>
  </si>
  <si>
    <t>The Caspian International Restaurants Company (Каспиан Интернэшнл Рестронгз Компани)</t>
  </si>
  <si>
    <t>Жидкое крем-мыло  NATURAL в бутыле,в ассортименте 5л.</t>
  </si>
  <si>
    <t>10042011 Салфетка 100 "Алпеш" белая, пач</t>
  </si>
  <si>
    <t>Жидкое крем-мыло  NATUREL в бутыле,в ассортименте 5л.</t>
  </si>
  <si>
    <t>Мистер Пропер с хлором</t>
  </si>
  <si>
    <t>Чистящий порошок Комет</t>
  </si>
  <si>
    <t>Освежитель воздуха "Green", 300 мл., шт.</t>
  </si>
  <si>
    <t>Мыло жидкое Naturel, шт (кан.)</t>
  </si>
  <si>
    <t>Камкор-Авто</t>
  </si>
  <si>
    <t>Полотенца рулонные бытовые белые 2-слойные "Evin Mini",рул</t>
  </si>
  <si>
    <t>Евромед</t>
  </si>
  <si>
    <t>Клиника Микрохирургии глаза</t>
  </si>
  <si>
    <t>Диспенсерные настольные салфетки EVIN Lux 200 листов</t>
  </si>
  <si>
    <t>Покрытия на унитаз, шт</t>
  </si>
  <si>
    <t>Жидкость для мытья посуды Шок, шт</t>
  </si>
  <si>
    <t>Пакет для мусора 35 л. плотные 10 мкр. Размер 50х60 в рулоне 50 шт</t>
  </si>
  <si>
    <t>Перчатки трикотажные пятипалые, пар</t>
  </si>
  <si>
    <t>Мыло "CAMAY",  шт.</t>
  </si>
  <si>
    <t>Порошок "COMET", в мягкой упаковке, шт</t>
  </si>
  <si>
    <t>Средство для мытья посуды "Fairy", 1л</t>
  </si>
  <si>
    <t>Губка кухонная - 20 шт.</t>
  </si>
  <si>
    <t>Белизна Ультра 1л.</t>
  </si>
  <si>
    <t>Мыло хозяйственное, 150 гр, 72%, шт.</t>
  </si>
  <si>
    <t>Средство для унитазов "Свежесть", 500 мл., шт</t>
  </si>
  <si>
    <t>Средство для мытья посуды Миф, 0.5 л</t>
  </si>
  <si>
    <t>Молдашев ИП (АМ на трассе Бишкек)</t>
  </si>
  <si>
    <t>СВ 15-19</t>
  </si>
  <si>
    <t>СВ-20</t>
  </si>
  <si>
    <t>Brillant 5 л.</t>
  </si>
  <si>
    <t>пенокомплект</t>
  </si>
  <si>
    <t>АР 40</t>
  </si>
  <si>
    <t>Средство д/мытья посуды NATUREL   в канистре 5 л. (лимон;яблоко) расщепляет жир даже в холодной воде</t>
  </si>
  <si>
    <t>Harmonia professional 5 л.</t>
  </si>
  <si>
    <t>Офис Бум</t>
  </si>
  <si>
    <t>АМ Емина</t>
  </si>
  <si>
    <t>АМ Lumina</t>
  </si>
  <si>
    <t>АМ  Максагет</t>
  </si>
  <si>
    <t>Офис Дом.kz" (Офис Дом.кз)</t>
  </si>
  <si>
    <t>СауЕл ТОО</t>
  </si>
  <si>
    <t>GMG Management Итог</t>
  </si>
  <si>
    <t>La Frame Club Итог</t>
  </si>
  <si>
    <t>Автомойка Казкелен Итог</t>
  </si>
  <si>
    <t>Автомойка Сабрина Итог</t>
  </si>
  <si>
    <t>Евромед Итог</t>
  </si>
  <si>
    <t>ЖИЛИЩНО-ЭКСПЛУАТАЦИОННЫЙ УЧАСТОК  Итог</t>
  </si>
  <si>
    <t>Зи-Зи кафе (ИП Гиязов) Итог</t>
  </si>
  <si>
    <t>Казанова (ИП Моненко) Итог</t>
  </si>
  <si>
    <t>Молдашев ИП (АМ на трассе Бишкек) Итог</t>
  </si>
  <si>
    <t>Офис Бум Итог</t>
  </si>
  <si>
    <t>Тимур Чимкент Итог</t>
  </si>
  <si>
    <t>Уют Сервис Итог</t>
  </si>
  <si>
    <t>ЖИЛИЩНО-ЭКСПЛУАТАЦИОННЫЙ УЧАСТОК</t>
  </si>
  <si>
    <t>АМ Lumina Итог</t>
  </si>
  <si>
    <t>АМ Емина Итог</t>
  </si>
  <si>
    <t>Камкор-Авто Итог</t>
  </si>
  <si>
    <t>Клиника Микрохирургии глаза Итог</t>
  </si>
  <si>
    <t>Офис Дом.kz" (Офис Дом.кз) Итог</t>
  </si>
  <si>
    <t>СауЕл ТОО Итог</t>
  </si>
  <si>
    <t>Толе би Кунаева</t>
  </si>
  <si>
    <t>Асия</t>
  </si>
  <si>
    <t>Шоколадница</t>
  </si>
  <si>
    <t>Тренажерный зал</t>
  </si>
  <si>
    <t>Татьяна</t>
  </si>
  <si>
    <t>Grill Pub «Zi-Zi»</t>
  </si>
  <si>
    <t>факс: +7 (727) 2331808</t>
  </si>
  <si>
    <t>Богенбай батыра 140</t>
  </si>
  <si>
    <t>+7 (771) 743-11-93</t>
  </si>
  <si>
    <t>Ольга</t>
  </si>
  <si>
    <t>Гагарина-Си-Синхай</t>
  </si>
  <si>
    <t>87078823822; 87024855565</t>
  </si>
  <si>
    <t>Аблай-Хана 135-Курмангазы</t>
  </si>
  <si>
    <t>Кабанбай Батыра 85 панфилова</t>
  </si>
  <si>
    <t xml:space="preserve">Бакиева Гуля, Томатаев Ерлан </t>
  </si>
  <si>
    <t>Бродского 37а</t>
  </si>
  <si>
    <t>ТолеБи-Фурманова</t>
  </si>
  <si>
    <t>Мико</t>
  </si>
  <si>
    <t>Жибек Жолы 64</t>
  </si>
  <si>
    <t>саяхат</t>
  </si>
  <si>
    <t>клининговая компания</t>
  </si>
  <si>
    <t>Black Stage</t>
  </si>
  <si>
    <t>Facility Service Kazakhstan</t>
  </si>
  <si>
    <t xml:space="preserve">Клининговая компания </t>
  </si>
  <si>
    <t>Ремизовка, выше Аль-Фараби (Курмангалиева 7)</t>
  </si>
  <si>
    <t>Дима</t>
  </si>
  <si>
    <t>Абая, угол ул. Байтурсынова</t>
  </si>
  <si>
    <t>Виталий</t>
  </si>
  <si>
    <t>Жанар</t>
  </si>
  <si>
    <t xml:space="preserve">ТолеБи 292 </t>
  </si>
  <si>
    <t>спорт</t>
  </si>
  <si>
    <t>Приградная, 12а</t>
  </si>
  <si>
    <t>Клининговая компания Кристал-сервис</t>
  </si>
  <si>
    <t>Богенбай батыра, 214, оф.10</t>
  </si>
  <si>
    <t>Артур Пак</t>
  </si>
  <si>
    <t>кафе "Ляззат"</t>
  </si>
  <si>
    <t>Аксай 3, дом 13 б (по Момышулы выше Толе би)</t>
  </si>
  <si>
    <t>Жанна</t>
  </si>
  <si>
    <t xml:space="preserve">ТолеБи 291 а </t>
  </si>
  <si>
    <t>Алина</t>
  </si>
  <si>
    <t>строительная компапия ТОЛ-Курылыс</t>
  </si>
  <si>
    <t>Дорожная, 1</t>
  </si>
  <si>
    <t>Алмарасан (Навои)</t>
  </si>
  <si>
    <t>Акиф</t>
  </si>
  <si>
    <t>Тимирязева 41 а уг Ауэзова</t>
  </si>
  <si>
    <t>Игорь</t>
  </si>
  <si>
    <t>Гоголя-Калдаякова</t>
  </si>
  <si>
    <t>Алена</t>
  </si>
  <si>
    <t>87074092627;  8 777 014 54 67, 8 775 751 56 37</t>
  </si>
  <si>
    <t>Розыбакиева, д. 250 б</t>
  </si>
  <si>
    <t>info@oe.kz</t>
  </si>
  <si>
    <t>Петр/Евгений; Асет Талапов</t>
  </si>
  <si>
    <t>dussmann_kz99@hotmail.com</t>
  </si>
  <si>
    <t>Вера Ивановна</t>
  </si>
  <si>
    <t>Чайковского 22, офис 103</t>
  </si>
  <si>
    <t xml:space="preserve">87057285528; 87777791221; 87715072160; </t>
  </si>
  <si>
    <t>.+7 (727) 3776377, 3776305</t>
  </si>
  <si>
    <t>Катя,Гульмира</t>
  </si>
  <si>
    <t>venera_gila@bk.ru</t>
  </si>
  <si>
    <t>263 87 99</t>
  </si>
  <si>
    <t>Ленина Джамбула</t>
  </si>
  <si>
    <t>8 7056229990, 2990548</t>
  </si>
  <si>
    <t>Галина, Нуржан</t>
  </si>
  <si>
    <t>Гуля</t>
  </si>
  <si>
    <t>zi-zi.atakent@mail.ru</t>
  </si>
  <si>
    <t>Ильяс; Диана</t>
  </si>
  <si>
    <t>http://www.royaltulipalmaty.com/</t>
  </si>
  <si>
    <t>concierge@royaltulipalmaty.com</t>
  </si>
  <si>
    <t>300 01 00</t>
  </si>
  <si>
    <t>ул. М. Оспанова, 401/2</t>
  </si>
  <si>
    <t xml:space="preserve">Royal Tulip Almaty </t>
  </si>
  <si>
    <t>Панфилова 83</t>
  </si>
  <si>
    <t>275 24 99</t>
  </si>
  <si>
    <t>Facility Service-Kazakhstan Итог</t>
  </si>
  <si>
    <t>Марина, Елена;  Андрей Васильевич</t>
  </si>
  <si>
    <t>Goldman and Young</t>
  </si>
  <si>
    <t>КазРосс 2</t>
  </si>
  <si>
    <t>почта</t>
  </si>
  <si>
    <t>Wisk Telecom Solutions</t>
  </si>
  <si>
    <t>Sport Center Итог</t>
  </si>
  <si>
    <t>Sport Center TOO</t>
  </si>
  <si>
    <t>АМ  Максагет Итог</t>
  </si>
  <si>
    <t>АМ Аспара Итог</t>
  </si>
  <si>
    <t>Ч.Л. Стас  Итог</t>
  </si>
  <si>
    <t>2774756; 2497588</t>
  </si>
  <si>
    <t>Медецинский центр Хак</t>
  </si>
  <si>
    <t>Наурызбай-Батыра 89</t>
  </si>
  <si>
    <t>3153939; 3156969; 706708</t>
  </si>
  <si>
    <t>Детский центр La Frame Club</t>
  </si>
  <si>
    <t>anita_fauol@mail.ru</t>
  </si>
  <si>
    <t>Тамара Ефимовна/Макпал</t>
  </si>
  <si>
    <t xml:space="preserve">встреча </t>
  </si>
  <si>
    <t>ladyjan@mail.ru</t>
  </si>
  <si>
    <t>m-kometa@mail.ru</t>
  </si>
  <si>
    <t>Усть-Каменогорск</t>
  </si>
  <si>
    <t xml:space="preserve">Керемет ресторан </t>
  </si>
  <si>
    <t>Кубентай Жаркынбаевич;Толкын</t>
  </si>
  <si>
    <t>87073222777; 87754549472</t>
  </si>
  <si>
    <t>Аня/Володя</t>
  </si>
  <si>
    <t>Оксана</t>
  </si>
  <si>
    <t>ДАНИЯРОВ РУСТАМ РИНАТОВИЧ</t>
  </si>
  <si>
    <t>Развлекательный комплекс "ЭХО" Итог</t>
  </si>
  <si>
    <t>Атомэнергокомплект-Казахстан</t>
  </si>
  <si>
    <t>Office-Expert.kz Итог</t>
  </si>
  <si>
    <t>SPECIALIZED TECHNICS Итог</t>
  </si>
  <si>
    <t>The Caspian International Restaurants Company (Каспиан Интернэшнл Рестронгз Компани) Итог</t>
  </si>
  <si>
    <t>Wisk Telecom Solutions Итог</t>
  </si>
  <si>
    <t>Атомэнергокомплект-Казахстан Итог</t>
  </si>
  <si>
    <t>ДАНИЯРОВ РУСТАМ РИНАТОВИЧ Итог</t>
  </si>
  <si>
    <t>Taj Rest</t>
  </si>
  <si>
    <t>Средняя школа № 17</t>
  </si>
  <si>
    <t>Кегембаева ИП Керемет</t>
  </si>
  <si>
    <t>8 (727) 327-52-54, 245 94 96</t>
  </si>
  <si>
    <t>Фитнес-клуб "World Class"</t>
  </si>
  <si>
    <t>Маркетинговые расходы</t>
  </si>
  <si>
    <t>Медиа-холдинг "ERNUR"</t>
  </si>
  <si>
    <t>zakaz@kliaksa.kz</t>
  </si>
  <si>
    <t>279-81-00 (dy 104)</t>
  </si>
  <si>
    <t>былжанов (услуги крана)- Малафеев</t>
  </si>
  <si>
    <t>Медцентр-Рахат</t>
  </si>
  <si>
    <t>Урумчи кафе</t>
  </si>
  <si>
    <t>Рахимжан Таукенсе</t>
  </si>
  <si>
    <t>Taj Rest Итог</t>
  </si>
  <si>
    <t>Кегембаева ИП Керемет Итог</t>
  </si>
  <si>
    <t>Медиа-холдинг "ERNUR" Итог</t>
  </si>
  <si>
    <t>Средняя школа № 17 Итог</t>
  </si>
  <si>
    <t>Ч.Л. Слава СТ Итог</t>
  </si>
  <si>
    <t>ресторан Taj Rest</t>
  </si>
  <si>
    <t>8 707 706 96 16; 8 701 247 76 89</t>
  </si>
  <si>
    <t>Бота; Айдар</t>
  </si>
  <si>
    <t>8 7172 99 77 77</t>
  </si>
  <si>
    <t>8 701 18 83; 8 777 165 80 19</t>
  </si>
  <si>
    <t>Анана;Кайрат</t>
  </si>
  <si>
    <t>Средняя школа № 18</t>
  </si>
  <si>
    <t>Риддер</t>
  </si>
  <si>
    <t>Ч.Л. Слава</t>
  </si>
  <si>
    <t>Дана Караганда</t>
  </si>
  <si>
    <t>Alma Pharmatech</t>
  </si>
  <si>
    <t>БАНКОВСКИЕ услуги</t>
  </si>
  <si>
    <t>Обслуживание компьютера</t>
  </si>
  <si>
    <t>Канц.товары</t>
  </si>
  <si>
    <t>Отправка почты</t>
  </si>
  <si>
    <t>Айгерим; Светлана</t>
  </si>
  <si>
    <t>Ч.Л. Ардак</t>
  </si>
  <si>
    <t>Виола Пейпер</t>
  </si>
  <si>
    <t>АРГУС-АТЫРАУ</t>
  </si>
  <si>
    <t>Alma Pharmatech Итог</t>
  </si>
  <si>
    <t>АРГУС-АТЫРАУ Итог</t>
  </si>
  <si>
    <t>Дана Караганда Итог</t>
  </si>
  <si>
    <t>Кокмайса Итог</t>
  </si>
  <si>
    <t>Медцентр-Рахат Итог</t>
  </si>
  <si>
    <t>Рахимжан Таукенсе Итог</t>
  </si>
  <si>
    <t>Урумчи кафе Итог</t>
  </si>
  <si>
    <t>Ч.Л. Ардак Итог</t>
  </si>
  <si>
    <t>Институт автотнасспорта</t>
  </si>
  <si>
    <t>TRAMAX Limited</t>
  </si>
  <si>
    <t>Рахимжан</t>
  </si>
  <si>
    <t>Ч.Л. Ольга</t>
  </si>
  <si>
    <t>PM Lucas Enterprises Limited</t>
  </si>
  <si>
    <t>CMS</t>
  </si>
  <si>
    <t>Деревенька</t>
  </si>
  <si>
    <t>АМК</t>
  </si>
  <si>
    <t>бАРАХОЛКА</t>
  </si>
  <si>
    <t>ErgoPack</t>
  </si>
  <si>
    <t>Центр Посуды</t>
  </si>
  <si>
    <t>% валового дохода  за минусом НДС от товарооборота</t>
  </si>
  <si>
    <t>закуп диспенсеров для АРЕНДЫ</t>
  </si>
  <si>
    <t>PM Lucas Enterprises Limited Итог</t>
  </si>
  <si>
    <t>TRAMAX Limited Итог</t>
  </si>
  <si>
    <t>Деревенька Итог</t>
  </si>
  <si>
    <t>Институт автотнасспорта Итог</t>
  </si>
  <si>
    <t>РГП на ПХВ "Институт биологии и биотехнологии растений" КН МОН РК Итог</t>
  </si>
  <si>
    <t>Ч.Л. Ольга Итог</t>
  </si>
  <si>
    <t>Ч.Л. Инесса Итог</t>
  </si>
  <si>
    <t>+7 (771) 779-99-20</t>
  </si>
  <si>
    <t>+7 (727) 313-11-88 (вн. 345)</t>
  </si>
  <si>
    <t>пр. Аль-Фараби, 15, ПФЦ «Нурлы Тау»,блок-секция 4В, помещение (офис) 22-4В-21,22</t>
  </si>
  <si>
    <t>Кутышева Сабина</t>
  </si>
  <si>
    <t>50139@almapt.kz</t>
  </si>
  <si>
    <t>Юля</t>
  </si>
  <si>
    <t>Щепкина 13</t>
  </si>
  <si>
    <t xml:space="preserve">309-70-42, 309-74-95
Факс: 309-70-49
</t>
  </si>
  <si>
    <t>клининговая кампания</t>
  </si>
  <si>
    <t>Дана</t>
  </si>
  <si>
    <t>Караганда</t>
  </si>
  <si>
    <t>Чуньджа</t>
  </si>
  <si>
    <t>Рустам</t>
  </si>
  <si>
    <t>Григорий</t>
  </si>
  <si>
    <t>Абая-Ауэзова</t>
  </si>
  <si>
    <t>Ауэзова-Абая</t>
  </si>
  <si>
    <t>zhanar790@mail.ru</t>
  </si>
  <si>
    <t>Абая (Жетысу)</t>
  </si>
  <si>
    <t>Жаслан</t>
  </si>
  <si>
    <t>Байтурсынова-Тимирязева</t>
  </si>
  <si>
    <t xml:space="preserve">РГП на ПХВ "Институт биологии и биотехнологии растений" КН МОН РК </t>
  </si>
  <si>
    <t>Институт биологии</t>
  </si>
  <si>
    <t>ТРЦ Домиллион 4 эт.</t>
  </si>
  <si>
    <t>Парикмахерская</t>
  </si>
  <si>
    <t>СТОФАРМ</t>
  </si>
  <si>
    <t>Евразийский Центр Мебели</t>
  </si>
  <si>
    <t>Радуга</t>
  </si>
  <si>
    <t>% чистой прибыли от товарооборота</t>
  </si>
  <si>
    <t>Евразийский Центр Мебели Итог</t>
  </si>
  <si>
    <t>Салон красоты "Лиза" У-К Итог</t>
  </si>
  <si>
    <t>СТОФАРМ Итог</t>
  </si>
  <si>
    <t>Уразбаева К.А ИП Итог</t>
  </si>
  <si>
    <t>Серик</t>
  </si>
  <si>
    <t>Мед. Клиника Тимал</t>
  </si>
  <si>
    <t xml:space="preserve">Салон красоты "Лиза" У-К </t>
  </si>
  <si>
    <t>VVSmirnov@almsklad.stopharm.kz</t>
  </si>
  <si>
    <t>ТолеБи-Матазалки</t>
  </si>
  <si>
    <t>каталожник</t>
  </si>
  <si>
    <t>Ардак</t>
  </si>
  <si>
    <t>Allur Group (Аллюр Групп)</t>
  </si>
  <si>
    <t>IRIS BEAUTY</t>
  </si>
  <si>
    <t>Атриум SPA-центр</t>
  </si>
  <si>
    <t>2476022; 2476021</t>
  </si>
  <si>
    <t>МЕТРО</t>
  </si>
  <si>
    <t>Мадияр Астана</t>
  </si>
  <si>
    <t>Ч.Л. Дидар</t>
  </si>
  <si>
    <t>Allur Group (Аллюр Групп) Итог</t>
  </si>
  <si>
    <t>CPS Итог</t>
  </si>
  <si>
    <t>IRIS BEAUTY Итог</t>
  </si>
  <si>
    <t>Атриум SPA-центр Итог</t>
  </si>
  <si>
    <t>Мадияр Астана Итог</t>
  </si>
  <si>
    <t>Ч.Л. Дидар Итог</t>
  </si>
  <si>
    <t>сумма поступления денег за отчетный месяц</t>
  </si>
  <si>
    <t>,</t>
  </si>
  <si>
    <t>Остаток денег в товарных запасах</t>
  </si>
  <si>
    <t>количество</t>
  </si>
  <si>
    <t>сумма</t>
  </si>
  <si>
    <t>валовый доход</t>
  </si>
  <si>
    <t>Номенклатура</t>
  </si>
  <si>
    <t>бумага туалетная листовая Z</t>
  </si>
  <si>
    <t>остаток на конец периода</t>
  </si>
  <si>
    <t>бонусная часть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</si>
</sst>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#,##0_ ;[Red]\-#,##0\ "/>
    <numFmt numFmtId="167" formatCode="[$-419]mmmm\ yyyy;@"/>
    <numFmt numFmtId="168" formatCode="mmm/yyyy"/>
  </numFmts>
  <fonts count="2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8"/>
      <name val="Arial Cyr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8"/>
      <name val="Arial Cyr"/>
      <family val="0"/>
    </font>
    <font>
      <b/>
      <i/>
      <sz val="8"/>
      <color indexed="17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Bookman Old Style"/>
      <family val="1"/>
    </font>
    <font>
      <b/>
      <sz val="10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i/>
      <sz val="8"/>
      <name val="Arial Cyr"/>
      <family val="0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8"/>
      <color indexed="8"/>
      <name val="Arial Cyr"/>
      <family val="0"/>
    </font>
    <font>
      <sz val="6"/>
      <name val="Arial"/>
      <family val="2"/>
    </font>
    <font>
      <b/>
      <sz val="6"/>
      <name val="Arial"/>
      <family val="2"/>
    </font>
    <font>
      <sz val="11"/>
      <color indexed="17"/>
      <name val="Arial"/>
      <family val="2"/>
    </font>
    <font>
      <sz val="8"/>
      <color indexed="17"/>
      <name val="Arial"/>
      <family val="2"/>
    </font>
    <font>
      <b/>
      <sz val="11"/>
      <color indexed="17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Arial"/>
      <family val="2"/>
    </font>
    <font>
      <sz val="10"/>
      <color indexed="10"/>
      <name val="Arial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36"/>
      <name val="Calibri"/>
      <family val="2"/>
    </font>
    <font>
      <b/>
      <i/>
      <sz val="11"/>
      <color indexed="36"/>
      <name val="Arial"/>
      <family val="2"/>
    </font>
    <font>
      <b/>
      <sz val="8"/>
      <color indexed="55"/>
      <name val="Calibri"/>
      <family val="2"/>
    </font>
    <font>
      <b/>
      <sz val="8"/>
      <color indexed="55"/>
      <name val="Arial"/>
      <family val="2"/>
    </font>
    <font>
      <b/>
      <sz val="10"/>
      <color indexed="8"/>
      <name val="Calibri"/>
      <family val="2"/>
    </font>
    <font>
      <b/>
      <sz val="8"/>
      <color indexed="23"/>
      <name val="Calibri"/>
      <family val="2"/>
    </font>
    <font>
      <sz val="8"/>
      <color indexed="23"/>
      <name val="Arial"/>
      <family val="2"/>
    </font>
    <font>
      <sz val="8"/>
      <color indexed="23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Calibri"/>
      <family val="2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11"/>
      <color indexed="56"/>
      <name val="Arial"/>
      <family val="2"/>
    </font>
    <font>
      <sz val="11"/>
      <color indexed="56"/>
      <name val="Calibri"/>
      <family val="2"/>
    </font>
    <font>
      <b/>
      <sz val="8"/>
      <name val="Calibri"/>
      <family val="2"/>
    </font>
    <font>
      <sz val="11"/>
      <color indexed="36"/>
      <name val="Calibri"/>
      <family val="2"/>
    </font>
    <font>
      <sz val="8"/>
      <name val="Calibri"/>
      <family val="2"/>
    </font>
    <font>
      <sz val="8"/>
      <color indexed="30"/>
      <name val="Arial"/>
      <family val="2"/>
    </font>
    <font>
      <sz val="11"/>
      <color indexed="30"/>
      <name val="Calibri"/>
      <family val="2"/>
    </font>
    <font>
      <b/>
      <sz val="8"/>
      <color indexed="30"/>
      <name val="Arial"/>
      <family val="2"/>
    </font>
    <font>
      <b/>
      <sz val="9"/>
      <name val="Calibri"/>
      <family val="2"/>
    </font>
    <font>
      <b/>
      <sz val="8"/>
      <color indexed="17"/>
      <name val="Arial"/>
      <family val="2"/>
    </font>
    <font>
      <b/>
      <sz val="8"/>
      <color indexed="17"/>
      <name val="Arial Cyr"/>
      <family val="0"/>
    </font>
    <font>
      <b/>
      <sz val="8"/>
      <color indexed="17"/>
      <name val="Calibri"/>
      <family val="2"/>
    </font>
    <font>
      <b/>
      <sz val="8"/>
      <color indexed="23"/>
      <name val="Arial"/>
      <family val="2"/>
    </font>
    <font>
      <b/>
      <sz val="8"/>
      <color indexed="23"/>
      <name val="Arial Cyr"/>
      <family val="0"/>
    </font>
    <font>
      <i/>
      <sz val="11"/>
      <name val="Calibri"/>
      <family val="2"/>
    </font>
    <font>
      <b/>
      <sz val="8"/>
      <color indexed="56"/>
      <name val="Arial"/>
      <family val="2"/>
    </font>
    <font>
      <b/>
      <sz val="8"/>
      <color indexed="56"/>
      <name val="Arial Cyr"/>
      <family val="0"/>
    </font>
    <font>
      <b/>
      <sz val="8"/>
      <color indexed="56"/>
      <name val="Calibri"/>
      <family val="2"/>
    </font>
    <font>
      <b/>
      <sz val="9"/>
      <color indexed="36"/>
      <name val="Arial"/>
      <family val="2"/>
    </font>
    <font>
      <b/>
      <sz val="9"/>
      <color indexed="36"/>
      <name val="Calibri"/>
      <family val="2"/>
    </font>
    <font>
      <i/>
      <sz val="8"/>
      <color indexed="23"/>
      <name val="Arial Cyr"/>
      <family val="0"/>
    </font>
    <font>
      <b/>
      <sz val="11"/>
      <color indexed="23"/>
      <name val="Calibri"/>
      <family val="2"/>
    </font>
    <font>
      <b/>
      <sz val="11"/>
      <color indexed="23"/>
      <name val="Arial Cyr"/>
      <family val="0"/>
    </font>
    <font>
      <b/>
      <sz val="12"/>
      <color indexed="23"/>
      <name val="Arial"/>
      <family val="2"/>
    </font>
    <font>
      <sz val="6"/>
      <color indexed="23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b/>
      <sz val="9"/>
      <color indexed="23"/>
      <name val="Arial"/>
      <family val="2"/>
    </font>
    <font>
      <sz val="12"/>
      <color indexed="23"/>
      <name val="Arial"/>
      <family val="2"/>
    </font>
    <font>
      <sz val="11"/>
      <color indexed="23"/>
      <name val="Calibri"/>
      <family val="2"/>
    </font>
    <font>
      <b/>
      <sz val="6"/>
      <color indexed="23"/>
      <name val="Arial"/>
      <family val="2"/>
    </font>
    <font>
      <i/>
      <sz val="10"/>
      <color indexed="10"/>
      <name val="Arial"/>
      <family val="2"/>
    </font>
    <font>
      <b/>
      <sz val="11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8"/>
      <color indexed="10"/>
      <name val="Arial"/>
      <family val="2"/>
    </font>
    <font>
      <sz val="10"/>
      <color indexed="36"/>
      <name val="Arial Cyr"/>
      <family val="0"/>
    </font>
    <font>
      <sz val="8"/>
      <color indexed="8"/>
      <name val="Arial Cyr"/>
      <family val="0"/>
    </font>
    <font>
      <u val="single"/>
      <sz val="11"/>
      <name val="Calibri"/>
      <family val="2"/>
    </font>
    <font>
      <b/>
      <i/>
      <sz val="8"/>
      <name val="Calibri"/>
      <family val="2"/>
    </font>
    <font>
      <sz val="10"/>
      <color indexed="55"/>
      <name val="Arial Cyr"/>
      <family val="0"/>
    </font>
    <font>
      <sz val="11"/>
      <color indexed="55"/>
      <name val="Calibri"/>
      <family val="2"/>
    </font>
    <font>
      <sz val="8"/>
      <color indexed="56"/>
      <name val="Arial"/>
      <family val="2"/>
    </font>
    <font>
      <u val="single"/>
      <sz val="11"/>
      <color indexed="23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Arial"/>
      <family val="2"/>
    </font>
    <font>
      <sz val="10"/>
      <color rgb="FFFF0000"/>
      <name val="Arial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7030A0"/>
      <name val="Calibri"/>
      <family val="2"/>
    </font>
    <font>
      <b/>
      <i/>
      <sz val="11"/>
      <color rgb="FF7030A0"/>
      <name val="Arial"/>
      <family val="2"/>
    </font>
    <font>
      <b/>
      <sz val="8"/>
      <color theme="0" tint="-0.3499799966812134"/>
      <name val="Calibri"/>
      <family val="2"/>
    </font>
    <font>
      <b/>
      <sz val="8"/>
      <color theme="0" tint="-0.3499799966812134"/>
      <name val="Arial"/>
      <family val="2"/>
    </font>
    <font>
      <b/>
      <sz val="10"/>
      <color theme="1"/>
      <name val="Calibri"/>
      <family val="2"/>
    </font>
    <font>
      <b/>
      <sz val="8"/>
      <color theme="0" tint="-0.4999699890613556"/>
      <name val="Calibri"/>
      <family val="2"/>
    </font>
    <font>
      <sz val="8"/>
      <color theme="0" tint="-0.4999699890613556"/>
      <name val="Arial"/>
      <family val="2"/>
    </font>
    <font>
      <sz val="8"/>
      <color theme="0" tint="-0.4999699890613556"/>
      <name val="Calibri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8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8"/>
      <color theme="1" tint="0.04998999834060669"/>
      <name val="Arial"/>
      <family val="2"/>
    </font>
    <font>
      <sz val="8"/>
      <color theme="1" tint="0.04998999834060669"/>
      <name val="Calibri"/>
      <family val="2"/>
    </font>
    <font>
      <sz val="6"/>
      <color theme="1" tint="0.04998999834060669"/>
      <name val="Arial"/>
      <family val="2"/>
    </font>
    <font>
      <sz val="6"/>
      <color theme="1" tint="0.04998999834060669"/>
      <name val="Calibri"/>
      <family val="2"/>
    </font>
    <font>
      <b/>
      <i/>
      <sz val="11"/>
      <color theme="1" tint="0.04998999834060669"/>
      <name val="Arial Cyr"/>
      <family val="0"/>
    </font>
    <font>
      <b/>
      <sz val="11"/>
      <color theme="1" tint="0.04998999834060669"/>
      <name val="Arial Cyr"/>
      <family val="0"/>
    </font>
    <font>
      <b/>
      <sz val="11"/>
      <color theme="1" tint="0.04998999834060669"/>
      <name val="Arial"/>
      <family val="2"/>
    </font>
    <font>
      <sz val="11"/>
      <color theme="1" tint="0.04998999834060669"/>
      <name val="Calibri"/>
      <family val="2"/>
    </font>
    <font>
      <b/>
      <sz val="8"/>
      <color theme="1" tint="0.04998999834060669"/>
      <name val="Arial"/>
      <family val="2"/>
    </font>
    <font>
      <b/>
      <sz val="8"/>
      <color theme="1" tint="0.04998999834060669"/>
      <name val="Calibri"/>
      <family val="2"/>
    </font>
    <font>
      <b/>
      <sz val="6"/>
      <color theme="1" tint="0.04998999834060669"/>
      <name val="Arial"/>
      <family val="2"/>
    </font>
    <font>
      <b/>
      <sz val="6"/>
      <color theme="1" tint="0.04998999834060669"/>
      <name val="Calibri"/>
      <family val="2"/>
    </font>
    <font>
      <b/>
      <sz val="8"/>
      <color theme="1"/>
      <name val="Calibri"/>
      <family val="2"/>
    </font>
    <font>
      <sz val="11"/>
      <color rgb="FF002060"/>
      <name val="Arial"/>
      <family val="2"/>
    </font>
    <font>
      <sz val="11"/>
      <color rgb="FF002060"/>
      <name val="Calibri"/>
      <family val="2"/>
    </font>
    <font>
      <sz val="11"/>
      <color rgb="FF7030A0"/>
      <name val="Calibri"/>
      <family val="2"/>
    </font>
    <font>
      <sz val="8"/>
      <color rgb="FF0070C0"/>
      <name val="Arial"/>
      <family val="2"/>
    </font>
    <font>
      <sz val="11"/>
      <color rgb="FF0070C0"/>
      <name val="Calibri"/>
      <family val="2"/>
    </font>
    <font>
      <b/>
      <sz val="8"/>
      <color rgb="FF0070C0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Arial Cyr"/>
      <family val="0"/>
    </font>
    <font>
      <b/>
      <sz val="8"/>
      <color rgb="FF00B050"/>
      <name val="Calibri"/>
      <family val="2"/>
    </font>
    <font>
      <b/>
      <sz val="8"/>
      <color theme="0" tint="-0.4999699890613556"/>
      <name val="Arial"/>
      <family val="2"/>
    </font>
    <font>
      <b/>
      <sz val="8"/>
      <color theme="0" tint="-0.4999699890613556"/>
      <name val="Arial Cyr"/>
      <family val="0"/>
    </font>
    <font>
      <b/>
      <sz val="8"/>
      <color rgb="FF002060"/>
      <name val="Arial"/>
      <family val="2"/>
    </font>
    <font>
      <b/>
      <sz val="8"/>
      <color rgb="FF002060"/>
      <name val="Arial Cyr"/>
      <family val="0"/>
    </font>
    <font>
      <b/>
      <sz val="8"/>
      <color rgb="FF002060"/>
      <name val="Calibri"/>
      <family val="2"/>
    </font>
    <font>
      <b/>
      <sz val="9"/>
      <color rgb="FF7030A0"/>
      <name val="Arial"/>
      <family val="2"/>
    </font>
    <font>
      <b/>
      <sz val="9"/>
      <color rgb="FF7030A0"/>
      <name val="Calibri"/>
      <family val="2"/>
    </font>
    <font>
      <i/>
      <sz val="8"/>
      <color theme="1" tint="0.49998000264167786"/>
      <name val="Arial Cyr"/>
      <family val="0"/>
    </font>
    <font>
      <b/>
      <sz val="11"/>
      <color theme="1" tint="0.49998000264167786"/>
      <name val="Calibri"/>
      <family val="2"/>
    </font>
    <font>
      <sz val="8"/>
      <color theme="1" tint="0.49998000264167786"/>
      <name val="Arial"/>
      <family val="2"/>
    </font>
    <font>
      <b/>
      <sz val="11"/>
      <color theme="1" tint="0.49998000264167786"/>
      <name val="Arial Cyr"/>
      <family val="0"/>
    </font>
    <font>
      <sz val="10"/>
      <color theme="1" tint="0.49998000264167786"/>
      <name val="Arial"/>
      <family val="2"/>
    </font>
    <font>
      <b/>
      <sz val="12"/>
      <color theme="1" tint="0.49998000264167786"/>
      <name val="Arial"/>
      <family val="2"/>
    </font>
    <font>
      <sz val="6"/>
      <color theme="1" tint="0.49998000264167786"/>
      <name val="Arial"/>
      <family val="2"/>
    </font>
    <font>
      <b/>
      <sz val="8"/>
      <color theme="1" tint="0.49998000264167786"/>
      <name val="Arial"/>
      <family val="2"/>
    </font>
    <font>
      <sz val="11"/>
      <color theme="1" tint="0.49998000264167786"/>
      <name val="Arial"/>
      <family val="2"/>
    </font>
    <font>
      <b/>
      <sz val="11"/>
      <color theme="1" tint="0.49998000264167786"/>
      <name val="Arial"/>
      <family val="2"/>
    </font>
    <font>
      <b/>
      <sz val="8"/>
      <color theme="1" tint="0.49998000264167786"/>
      <name val="Calibri"/>
      <family val="2"/>
    </font>
    <font>
      <b/>
      <sz val="9"/>
      <color theme="1" tint="0.49998000264167786"/>
      <name val="Arial"/>
      <family val="2"/>
    </font>
    <font>
      <b/>
      <sz val="8"/>
      <color theme="1" tint="0.49998000264167786"/>
      <name val="Arial Cyr"/>
      <family val="0"/>
    </font>
    <font>
      <b/>
      <sz val="10"/>
      <color theme="1" tint="0.49998000264167786"/>
      <name val="Arial"/>
      <family val="2"/>
    </font>
    <font>
      <sz val="12"/>
      <color theme="1" tint="0.49998000264167786"/>
      <name val="Arial"/>
      <family val="2"/>
    </font>
    <font>
      <sz val="11"/>
      <color theme="1" tint="0.49998000264167786"/>
      <name val="Calibri"/>
      <family val="2"/>
    </font>
    <font>
      <i/>
      <sz val="11"/>
      <color theme="1" tint="0.49998000264167786"/>
      <name val="Calibri"/>
      <family val="2"/>
    </font>
    <font>
      <b/>
      <sz val="6"/>
      <color theme="1" tint="0.49998000264167786"/>
      <name val="Arial"/>
      <family val="2"/>
    </font>
    <font>
      <i/>
      <sz val="10"/>
      <color rgb="FFFF0000"/>
      <name val="Arial"/>
      <family val="2"/>
    </font>
    <font>
      <b/>
      <sz val="11"/>
      <color rgb="FF00B050"/>
      <name val="Arial Cyr"/>
      <family val="0"/>
    </font>
    <font>
      <sz val="11"/>
      <color rgb="FF00B05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theme="0" tint="-0.4999699890613556"/>
      <name val="Arial Cyr"/>
      <family val="0"/>
    </font>
    <font>
      <sz val="11"/>
      <color theme="0" tint="-0.4999699890613556"/>
      <name val="Calibri"/>
      <family val="2"/>
    </font>
    <font>
      <sz val="10"/>
      <color rgb="FFFF0000"/>
      <name val="Arial Cyr"/>
      <family val="0"/>
    </font>
    <font>
      <sz val="10"/>
      <color rgb="FF00B050"/>
      <name val="Arial Cyr"/>
      <family val="0"/>
    </font>
    <font>
      <sz val="8"/>
      <color rgb="FFFF0000"/>
      <name val="Arial"/>
      <family val="2"/>
    </font>
    <font>
      <sz val="10"/>
      <color rgb="FF7030A0"/>
      <name val="Arial Cyr"/>
      <family val="0"/>
    </font>
    <font>
      <sz val="8"/>
      <color theme="1"/>
      <name val="Arial Cyr"/>
      <family val="0"/>
    </font>
    <font>
      <sz val="8"/>
      <color rgb="FF00B050"/>
      <name val="Arial"/>
      <family val="2"/>
    </font>
    <font>
      <sz val="10"/>
      <color theme="0" tint="-0.3499799966812134"/>
      <name val="Arial Cyr"/>
      <family val="0"/>
    </font>
    <font>
      <sz val="11"/>
      <color theme="0" tint="-0.3499799966812134"/>
      <name val="Calibri"/>
      <family val="2"/>
    </font>
    <font>
      <sz val="8"/>
      <color rgb="FF002060"/>
      <name val="Arial"/>
      <family val="2"/>
    </font>
    <font>
      <u val="single"/>
      <sz val="11"/>
      <color theme="0" tint="-0.4999699890613556"/>
      <name val="Calibri"/>
      <family val="2"/>
    </font>
    <font>
      <u val="single"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>
        <color rgb="FF898477"/>
      </left>
      <right style="medium">
        <color rgb="FF898477"/>
      </right>
      <top/>
      <bottom style="medium">
        <color rgb="FF898477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2" fillId="0" borderId="0">
      <alignment/>
      <protection/>
    </xf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1" applyNumberFormat="0" applyAlignment="0" applyProtection="0"/>
    <xf numFmtId="0" fontId="138" fillId="27" borderId="2" applyNumberFormat="0" applyAlignment="0" applyProtection="0"/>
    <xf numFmtId="0" fontId="139" fillId="27" borderId="1" applyNumberFormat="0" applyAlignment="0" applyProtection="0"/>
    <xf numFmtId="0" fontId="1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6" applyNumberFormat="0" applyFill="0" applyAlignment="0" applyProtection="0"/>
    <xf numFmtId="0" fontId="145" fillId="28" borderId="7" applyNumberFormat="0" applyAlignment="0" applyProtection="0"/>
    <xf numFmtId="0" fontId="146" fillId="0" borderId="0" applyNumberFormat="0" applyFill="0" applyBorder="0" applyAlignment="0" applyProtection="0"/>
    <xf numFmtId="0" fontId="147" fillId="29" borderId="0" applyNumberFormat="0" applyBorder="0" applyAlignment="0" applyProtection="0"/>
    <xf numFmtId="0" fontId="7" fillId="0" borderId="0">
      <alignment/>
      <protection/>
    </xf>
    <xf numFmtId="0" fontId="148" fillId="0" borderId="0" applyNumberFormat="0" applyFill="0" applyBorder="0" applyAlignment="0" applyProtection="0"/>
    <xf numFmtId="0" fontId="149" fillId="30" borderId="0" applyNumberFormat="0" applyBorder="0" applyAlignment="0" applyProtection="0"/>
    <xf numFmtId="0" fontId="1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3" fillId="32" borderId="0" applyNumberFormat="0" applyBorder="0" applyAlignment="0" applyProtection="0"/>
  </cellStyleXfs>
  <cellXfs count="693"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3" fontId="12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7" fontId="15" fillId="31" borderId="10" xfId="0" applyNumberFormat="1" applyFont="1" applyFill="1" applyBorder="1" applyAlignment="1">
      <alignment horizontal="center" wrapText="1"/>
    </xf>
    <xf numFmtId="3" fontId="12" fillId="31" borderId="10" xfId="0" applyNumberFormat="1" applyFont="1" applyFill="1" applyBorder="1" applyAlignment="1">
      <alignment horizontal="center"/>
    </xf>
    <xf numFmtId="3" fontId="7" fillId="31" borderId="10" xfId="0" applyNumberFormat="1" applyFont="1" applyFill="1" applyBorder="1" applyAlignment="1">
      <alignment horizontal="center"/>
    </xf>
    <xf numFmtId="0" fontId="4" fillId="31" borderId="0" xfId="0" applyFont="1" applyFill="1" applyAlignment="1">
      <alignment horizontal="center" vertical="center" wrapText="1"/>
    </xf>
    <xf numFmtId="3" fontId="154" fillId="31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6" fillId="0" borderId="0" xfId="0" applyNumberFormat="1" applyFont="1" applyFill="1" applyAlignment="1">
      <alignment wrapText="1"/>
    </xf>
    <xf numFmtId="3" fontId="6" fillId="33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5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/>
    </xf>
    <xf numFmtId="1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" fontId="144" fillId="31" borderId="10" xfId="0" applyNumberFormat="1" applyFont="1" applyFill="1" applyBorder="1" applyAlignment="1">
      <alignment horizontal="center" wrapText="1"/>
    </xf>
    <xf numFmtId="3" fontId="14" fillId="31" borderId="10" xfId="0" applyNumberFormat="1" applyFont="1" applyFill="1" applyBorder="1" applyAlignment="1">
      <alignment horizontal="center" wrapText="1"/>
    </xf>
    <xf numFmtId="0" fontId="0" fillId="31" borderId="0" xfId="0" applyFill="1" applyAlignment="1">
      <alignment horizontal="center" wrapText="1"/>
    </xf>
    <xf numFmtId="3" fontId="14" fillId="0" borderId="10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66" fontId="9" fillId="0" borderId="0" xfId="0" applyNumberFormat="1" applyFont="1" applyFill="1" applyAlignment="1">
      <alignment horizontal="center" vertical="center"/>
    </xf>
    <xf numFmtId="0" fontId="156" fillId="0" borderId="0" xfId="0" applyFont="1" applyFill="1" applyAlignment="1">
      <alignment horizontal="center" wrapText="1"/>
    </xf>
    <xf numFmtId="3" fontId="156" fillId="0" borderId="0" xfId="0" applyNumberFormat="1" applyFont="1" applyFill="1" applyAlignment="1">
      <alignment horizontal="center" wrapText="1"/>
    </xf>
    <xf numFmtId="0" fontId="156" fillId="0" borderId="0" xfId="0" applyFont="1" applyFill="1" applyAlignment="1">
      <alignment horizontal="center"/>
    </xf>
    <xf numFmtId="3" fontId="156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156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144" fillId="0" borderId="11" xfId="0" applyNumberFormat="1" applyFont="1" applyFill="1" applyBorder="1" applyAlignment="1">
      <alignment horizontal="center"/>
    </xf>
    <xf numFmtId="0" fontId="144" fillId="0" borderId="0" xfId="0" applyFont="1" applyFill="1" applyAlignment="1">
      <alignment horizontal="center"/>
    </xf>
    <xf numFmtId="0" fontId="157" fillId="0" borderId="0" xfId="0" applyFont="1" applyAlignment="1">
      <alignment horizontal="center"/>
    </xf>
    <xf numFmtId="0" fontId="144" fillId="0" borderId="0" xfId="0" applyFont="1" applyAlignment="1">
      <alignment horizontal="center"/>
    </xf>
    <xf numFmtId="0" fontId="158" fillId="0" borderId="0" xfId="0" applyFont="1" applyAlignment="1">
      <alignment horizontal="center"/>
    </xf>
    <xf numFmtId="0" fontId="3" fillId="31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7" fontId="15" fillId="34" borderId="12" xfId="0" applyNumberFormat="1" applyFont="1" applyFill="1" applyBorder="1" applyAlignment="1">
      <alignment horizontal="left" wrapText="1"/>
    </xf>
    <xf numFmtId="0" fontId="144" fillId="0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 applyProtection="1">
      <alignment horizontal="left" vertical="top" wrapText="1"/>
      <protection hidden="1" locked="0"/>
    </xf>
    <xf numFmtId="0" fontId="11" fillId="0" borderId="12" xfId="0" applyFont="1" applyFill="1" applyBorder="1" applyAlignment="1">
      <alignment horizontal="left" wrapText="1"/>
    </xf>
    <xf numFmtId="0" fontId="159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3" fontId="154" fillId="0" borderId="11" xfId="0" applyNumberFormat="1" applyFont="1" applyBorder="1" applyAlignment="1">
      <alignment horizontal="center"/>
    </xf>
    <xf numFmtId="9" fontId="160" fillId="0" borderId="13" xfId="0" applyNumberFormat="1" applyFont="1" applyFill="1" applyBorder="1" applyAlignment="1">
      <alignment horizontal="left" wrapText="1"/>
    </xf>
    <xf numFmtId="9" fontId="160" fillId="31" borderId="14" xfId="0" applyNumberFormat="1" applyFont="1" applyFill="1" applyBorder="1" applyAlignment="1">
      <alignment horizontal="center" wrapText="1"/>
    </xf>
    <xf numFmtId="9" fontId="160" fillId="0" borderId="15" xfId="0" applyNumberFormat="1" applyFont="1" applyFill="1" applyBorder="1" applyAlignment="1">
      <alignment horizontal="center" wrapText="1"/>
    </xf>
    <xf numFmtId="9" fontId="160" fillId="0" borderId="0" xfId="0" applyNumberFormat="1" applyFont="1" applyFill="1" applyAlignment="1">
      <alignment horizontal="center" wrapText="1"/>
    </xf>
    <xf numFmtId="9" fontId="160" fillId="0" borderId="0" xfId="0" applyNumberFormat="1" applyFont="1" applyFill="1" applyAlignment="1">
      <alignment horizontal="center"/>
    </xf>
    <xf numFmtId="9" fontId="161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 applyProtection="1">
      <alignment horizontal="left" vertical="top" wrapText="1"/>
      <protection hidden="1" locked="0"/>
    </xf>
    <xf numFmtId="3" fontId="6" fillId="31" borderId="10" xfId="0" applyNumberFormat="1" applyFont="1" applyFill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62" fillId="0" borderId="0" xfId="0" applyFont="1" applyAlignment="1">
      <alignment horizontal="center"/>
    </xf>
    <xf numFmtId="14" fontId="3" fillId="0" borderId="0" xfId="0" applyNumberFormat="1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left" wrapText="1"/>
    </xf>
    <xf numFmtId="1" fontId="3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 wrapText="1"/>
    </xf>
    <xf numFmtId="3" fontId="3" fillId="34" borderId="0" xfId="0" applyNumberFormat="1" applyFont="1" applyFill="1" applyBorder="1" applyAlignment="1">
      <alignment wrapText="1"/>
    </xf>
    <xf numFmtId="3" fontId="3" fillId="34" borderId="0" xfId="0" applyNumberFormat="1" applyFont="1" applyFill="1" applyBorder="1" applyAlignment="1">
      <alignment/>
    </xf>
    <xf numFmtId="0" fontId="6" fillId="34" borderId="16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16" xfId="0" applyFont="1" applyFill="1" applyBorder="1" applyAlignment="1">
      <alignment horizontal="left" wrapText="1"/>
    </xf>
    <xf numFmtId="3" fontId="6" fillId="34" borderId="16" xfId="0" applyNumberFormat="1" applyFont="1" applyFill="1" applyBorder="1" applyAlignment="1">
      <alignment wrapText="1"/>
    </xf>
    <xf numFmtId="3" fontId="8" fillId="31" borderId="1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163" fillId="0" borderId="12" xfId="0" applyFont="1" applyFill="1" applyBorder="1" applyAlignment="1">
      <alignment horizontal="left" wrapText="1"/>
    </xf>
    <xf numFmtId="164" fontId="164" fillId="31" borderId="10" xfId="0" applyNumberFormat="1" applyFont="1" applyFill="1" applyBorder="1" applyAlignment="1">
      <alignment horizontal="center"/>
    </xf>
    <xf numFmtId="164" fontId="164" fillId="0" borderId="11" xfId="0" applyNumberFormat="1" applyFont="1" applyBorder="1" applyAlignment="1">
      <alignment horizontal="center"/>
    </xf>
    <xf numFmtId="164" fontId="165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14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166" fillId="34" borderId="16" xfId="0" applyFont="1" applyFill="1" applyBorder="1" applyAlignment="1">
      <alignment wrapText="1"/>
    </xf>
    <xf numFmtId="3" fontId="167" fillId="0" borderId="10" xfId="0" applyNumberFormat="1" applyFont="1" applyFill="1" applyBorder="1" applyAlignment="1">
      <alignment/>
    </xf>
    <xf numFmtId="0" fontId="167" fillId="0" borderId="10" xfId="0" applyFont="1" applyFill="1" applyBorder="1" applyAlignment="1">
      <alignment/>
    </xf>
    <xf numFmtId="3" fontId="167" fillId="34" borderId="0" xfId="0" applyNumberFormat="1" applyFont="1" applyFill="1" applyBorder="1" applyAlignment="1">
      <alignment/>
    </xf>
    <xf numFmtId="0" fontId="167" fillId="34" borderId="0" xfId="0" applyFont="1" applyFill="1" applyBorder="1" applyAlignment="1">
      <alignment/>
    </xf>
    <xf numFmtId="0" fontId="167" fillId="0" borderId="0" xfId="0" applyFont="1" applyFill="1" applyBorder="1" applyAlignment="1">
      <alignment/>
    </xf>
    <xf numFmtId="0" fontId="167" fillId="0" borderId="0" xfId="0" applyFont="1" applyFill="1" applyAlignment="1">
      <alignment/>
    </xf>
    <xf numFmtId="3" fontId="168" fillId="31" borderId="10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31" borderId="10" xfId="0" applyNumberFormat="1" applyFont="1" applyFill="1" applyBorder="1" applyAlignment="1">
      <alignment horizontal="center"/>
    </xf>
    <xf numFmtId="3" fontId="72" fillId="0" borderId="12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3" fontId="72" fillId="31" borderId="10" xfId="0" applyNumberFormat="1" applyFont="1" applyFill="1" applyBorder="1" applyAlignment="1">
      <alignment horizontal="center" wrapText="1"/>
    </xf>
    <xf numFmtId="3" fontId="72" fillId="0" borderId="11" xfId="0" applyNumberFormat="1" applyFont="1" applyFill="1" applyBorder="1" applyAlignment="1">
      <alignment horizontal="center" wrapText="1"/>
    </xf>
    <xf numFmtId="3" fontId="72" fillId="0" borderId="0" xfId="0" applyNumberFormat="1" applyFont="1" applyFill="1" applyAlignment="1">
      <alignment horizontal="center" wrapText="1"/>
    </xf>
    <xf numFmtId="3" fontId="7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9" fillId="0" borderId="10" xfId="0" applyFont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3" fontId="73" fillId="31" borderId="10" xfId="0" applyNumberFormat="1" applyFont="1" applyFill="1" applyBorder="1" applyAlignment="1">
      <alignment horizontal="center" wrapText="1"/>
    </xf>
    <xf numFmtId="3" fontId="73" fillId="0" borderId="0" xfId="0" applyNumberFormat="1" applyFont="1" applyFill="1" applyAlignment="1">
      <alignment horizontal="center" wrapText="1"/>
    </xf>
    <xf numFmtId="3" fontId="73" fillId="0" borderId="0" xfId="0" applyNumberFormat="1" applyFont="1" applyFill="1" applyAlignment="1">
      <alignment horizontal="center"/>
    </xf>
    <xf numFmtId="3" fontId="73" fillId="0" borderId="17" xfId="0" applyNumberFormat="1" applyFont="1" applyFill="1" applyBorder="1" applyAlignment="1">
      <alignment horizontal="left" wrapText="1"/>
    </xf>
    <xf numFmtId="3" fontId="73" fillId="31" borderId="16" xfId="0" applyNumberFormat="1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center"/>
    </xf>
    <xf numFmtId="0" fontId="144" fillId="34" borderId="0" xfId="0" applyFont="1" applyFill="1" applyAlignment="1">
      <alignment horizontal="center"/>
    </xf>
    <xf numFmtId="3" fontId="21" fillId="34" borderId="11" xfId="0" applyNumberFormat="1" applyFont="1" applyFill="1" applyBorder="1" applyAlignment="1">
      <alignment horizontal="center"/>
    </xf>
    <xf numFmtId="166" fontId="9" fillId="34" borderId="12" xfId="0" applyNumberFormat="1" applyFont="1" applyFill="1" applyBorder="1" applyAlignment="1">
      <alignment horizontal="left" vertical="center" wrapText="1"/>
    </xf>
    <xf numFmtId="166" fontId="9" fillId="34" borderId="10" xfId="0" applyNumberFormat="1" applyFont="1" applyFill="1" applyBorder="1" applyAlignment="1">
      <alignment horizontal="center" vertical="center"/>
    </xf>
    <xf numFmtId="0" fontId="169" fillId="34" borderId="16" xfId="0" applyFont="1" applyFill="1" applyBorder="1" applyAlignment="1">
      <alignment wrapText="1"/>
    </xf>
    <xf numFmtId="164" fontId="170" fillId="0" borderId="0" xfId="0" applyNumberFormat="1" applyFont="1" applyFill="1" applyBorder="1" applyAlignment="1">
      <alignment/>
    </xf>
    <xf numFmtId="164" fontId="169" fillId="34" borderId="0" xfId="0" applyNumberFormat="1" applyFont="1" applyFill="1" applyBorder="1" applyAlignment="1">
      <alignment/>
    </xf>
    <xf numFmtId="0" fontId="170" fillId="0" borderId="0" xfId="0" applyFont="1" applyFill="1" applyBorder="1" applyAlignment="1">
      <alignment/>
    </xf>
    <xf numFmtId="0" fontId="170" fillId="0" borderId="0" xfId="0" applyFont="1" applyFill="1" applyAlignment="1">
      <alignment/>
    </xf>
    <xf numFmtId="0" fontId="171" fillId="0" borderId="18" xfId="0" applyFont="1" applyBorder="1" applyAlignment="1">
      <alignment horizontal="left" wrapText="1"/>
    </xf>
    <xf numFmtId="3" fontId="171" fillId="0" borderId="19" xfId="0" applyNumberFormat="1" applyFont="1" applyBorder="1" applyAlignment="1">
      <alignment horizontal="center"/>
    </xf>
    <xf numFmtId="3" fontId="171" fillId="31" borderId="19" xfId="0" applyNumberFormat="1" applyFont="1" applyFill="1" applyBorder="1" applyAlignment="1">
      <alignment horizontal="center"/>
    </xf>
    <xf numFmtId="0" fontId="172" fillId="0" borderId="0" xfId="0" applyFont="1" applyAlignment="1">
      <alignment horizontal="center"/>
    </xf>
    <xf numFmtId="0" fontId="173" fillId="0" borderId="12" xfId="0" applyFont="1" applyBorder="1" applyAlignment="1">
      <alignment horizontal="left" wrapText="1"/>
    </xf>
    <xf numFmtId="3" fontId="173" fillId="0" borderId="10" xfId="0" applyNumberFormat="1" applyFont="1" applyBorder="1" applyAlignment="1">
      <alignment horizontal="center"/>
    </xf>
    <xf numFmtId="3" fontId="173" fillId="31" borderId="10" xfId="0" applyNumberFormat="1" applyFont="1" applyFill="1" applyBorder="1" applyAlignment="1">
      <alignment horizontal="center"/>
    </xf>
    <xf numFmtId="0" fontId="174" fillId="0" borderId="0" xfId="0" applyFont="1" applyAlignment="1">
      <alignment horizontal="center"/>
    </xf>
    <xf numFmtId="3" fontId="171" fillId="0" borderId="10" xfId="0" applyNumberFormat="1" applyFont="1" applyBorder="1" applyAlignment="1">
      <alignment horizontal="center"/>
    </xf>
    <xf numFmtId="3" fontId="173" fillId="0" borderId="13" xfId="0" applyNumberFormat="1" applyFont="1" applyBorder="1" applyAlignment="1">
      <alignment horizontal="left" wrapText="1"/>
    </xf>
    <xf numFmtId="3" fontId="173" fillId="31" borderId="14" xfId="0" applyNumberFormat="1" applyFont="1" applyFill="1" applyBorder="1" applyAlignment="1">
      <alignment horizontal="center"/>
    </xf>
    <xf numFmtId="3" fontId="171" fillId="0" borderId="14" xfId="0" applyNumberFormat="1" applyFont="1" applyBorder="1" applyAlignment="1">
      <alignment horizontal="center"/>
    </xf>
    <xf numFmtId="0" fontId="171" fillId="0" borderId="20" xfId="0" applyFont="1" applyBorder="1" applyAlignment="1">
      <alignment horizontal="left" wrapText="1"/>
    </xf>
    <xf numFmtId="3" fontId="171" fillId="0" borderId="21" xfId="0" applyNumberFormat="1" applyFont="1" applyBorder="1" applyAlignment="1">
      <alignment horizontal="center"/>
    </xf>
    <xf numFmtId="3" fontId="171" fillId="31" borderId="21" xfId="0" applyNumberFormat="1" applyFont="1" applyFill="1" applyBorder="1" applyAlignment="1">
      <alignment horizontal="center"/>
    </xf>
    <xf numFmtId="0" fontId="171" fillId="0" borderId="12" xfId="0" applyFont="1" applyBorder="1" applyAlignment="1">
      <alignment horizontal="left"/>
    </xf>
    <xf numFmtId="3" fontId="171" fillId="31" borderId="10" xfId="0" applyNumberFormat="1" applyFont="1" applyFill="1" applyBorder="1" applyAlignment="1">
      <alignment horizontal="center"/>
    </xf>
    <xf numFmtId="0" fontId="175" fillId="0" borderId="12" xfId="0" applyFont="1" applyFill="1" applyBorder="1" applyAlignment="1">
      <alignment horizontal="left" wrapText="1"/>
    </xf>
    <xf numFmtId="3" fontId="176" fillId="31" borderId="10" xfId="0" applyNumberFormat="1" applyFont="1" applyFill="1" applyBorder="1" applyAlignment="1">
      <alignment horizontal="center" wrapText="1"/>
    </xf>
    <xf numFmtId="3" fontId="177" fillId="0" borderId="11" xfId="0" applyNumberFormat="1" applyFont="1" applyFill="1" applyBorder="1" applyAlignment="1">
      <alignment horizontal="center"/>
    </xf>
    <xf numFmtId="0" fontId="178" fillId="0" borderId="0" xfId="0" applyFont="1" applyFill="1" applyAlignment="1">
      <alignment horizontal="center"/>
    </xf>
    <xf numFmtId="3" fontId="173" fillId="0" borderId="12" xfId="0" applyNumberFormat="1" applyFont="1" applyBorder="1" applyAlignment="1">
      <alignment horizontal="left" wrapText="1"/>
    </xf>
    <xf numFmtId="3" fontId="174" fillId="0" borderId="0" xfId="0" applyNumberFormat="1" applyFont="1" applyAlignment="1">
      <alignment horizontal="center"/>
    </xf>
    <xf numFmtId="0" fontId="179" fillId="0" borderId="12" xfId="0" applyFont="1" applyBorder="1" applyAlignment="1">
      <alignment horizontal="left"/>
    </xf>
    <xf numFmtId="3" fontId="179" fillId="0" borderId="10" xfId="0" applyNumberFormat="1" applyFont="1" applyBorder="1" applyAlignment="1">
      <alignment horizontal="center"/>
    </xf>
    <xf numFmtId="3" fontId="179" fillId="31" borderId="10" xfId="0" applyNumberFormat="1" applyFont="1" applyFill="1" applyBorder="1" applyAlignment="1">
      <alignment horizontal="center"/>
    </xf>
    <xf numFmtId="0" fontId="180" fillId="0" borderId="0" xfId="0" applyFont="1" applyAlignment="1">
      <alignment horizontal="center"/>
    </xf>
    <xf numFmtId="3" fontId="181" fillId="0" borderId="13" xfId="0" applyNumberFormat="1" applyFont="1" applyBorder="1" applyAlignment="1">
      <alignment horizontal="left" wrapText="1"/>
    </xf>
    <xf numFmtId="3" fontId="181" fillId="31" borderId="14" xfId="0" applyNumberFormat="1" applyFont="1" applyFill="1" applyBorder="1" applyAlignment="1">
      <alignment horizontal="center"/>
    </xf>
    <xf numFmtId="3" fontId="179" fillId="0" borderId="14" xfId="0" applyNumberFormat="1" applyFont="1" applyBorder="1" applyAlignment="1">
      <alignment horizontal="center"/>
    </xf>
    <xf numFmtId="0" fontId="182" fillId="0" borderId="0" xfId="0" applyFont="1" applyAlignment="1">
      <alignment horizontal="center"/>
    </xf>
    <xf numFmtId="3" fontId="181" fillId="0" borderId="17" xfId="0" applyNumberFormat="1" applyFont="1" applyBorder="1" applyAlignment="1">
      <alignment horizontal="left" wrapText="1"/>
    </xf>
    <xf numFmtId="3" fontId="181" fillId="31" borderId="16" xfId="0" applyNumberFormat="1" applyFont="1" applyFill="1" applyBorder="1" applyAlignment="1">
      <alignment horizontal="center"/>
    </xf>
    <xf numFmtId="3" fontId="181" fillId="0" borderId="22" xfId="0" applyNumberFormat="1" applyFont="1" applyFill="1" applyBorder="1" applyAlignment="1">
      <alignment horizontal="center"/>
    </xf>
    <xf numFmtId="167" fontId="10" fillId="34" borderId="12" xfId="0" applyNumberFormat="1" applyFont="1" applyFill="1" applyBorder="1" applyAlignment="1">
      <alignment horizontal="left" wrapText="1"/>
    </xf>
    <xf numFmtId="167" fontId="10" fillId="34" borderId="11" xfId="0" applyNumberFormat="1" applyFont="1" applyFill="1" applyBorder="1" applyAlignment="1">
      <alignment horizontal="center" wrapText="1"/>
    </xf>
    <xf numFmtId="167" fontId="156" fillId="0" borderId="0" xfId="0" applyNumberFormat="1" applyFont="1" applyFill="1" applyAlignment="1">
      <alignment horizontal="center" wrapText="1"/>
    </xf>
    <xf numFmtId="167" fontId="156" fillId="0" borderId="0" xfId="0" applyNumberFormat="1" applyFont="1" applyFill="1" applyAlignment="1">
      <alignment horizontal="center"/>
    </xf>
    <xf numFmtId="167" fontId="16" fillId="0" borderId="0" xfId="0" applyNumberFormat="1" applyFont="1" applyFill="1" applyAlignment="1">
      <alignment horizontal="center"/>
    </xf>
    <xf numFmtId="167" fontId="156" fillId="0" borderId="0" xfId="0" applyNumberFormat="1" applyFont="1" applyAlignment="1">
      <alignment horizontal="center"/>
    </xf>
    <xf numFmtId="3" fontId="170" fillId="0" borderId="10" xfId="0" applyNumberFormat="1" applyFont="1" applyFill="1" applyBorder="1" applyAlignment="1">
      <alignment wrapText="1"/>
    </xf>
    <xf numFmtId="0" fontId="8" fillId="35" borderId="12" xfId="0" applyFont="1" applyFill="1" applyBorder="1" applyAlignment="1" applyProtection="1">
      <alignment horizontal="left" vertical="top" wrapText="1"/>
      <protection hidden="1" locked="0"/>
    </xf>
    <xf numFmtId="3" fontId="8" fillId="35" borderId="10" xfId="0" applyNumberFormat="1" applyFont="1" applyFill="1" applyBorder="1" applyAlignment="1">
      <alignment horizontal="center"/>
    </xf>
    <xf numFmtId="3" fontId="8" fillId="35" borderId="11" xfId="0" applyNumberFormat="1" applyFont="1" applyFill="1" applyBorder="1" applyAlignment="1">
      <alignment horizontal="center"/>
    </xf>
    <xf numFmtId="0" fontId="183" fillId="35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/>
    </xf>
    <xf numFmtId="3" fontId="184" fillId="0" borderId="12" xfId="0" applyNumberFormat="1" applyFont="1" applyBorder="1" applyAlignment="1">
      <alignment horizontal="left"/>
    </xf>
    <xf numFmtId="3" fontId="184" fillId="31" borderId="10" xfId="0" applyNumberFormat="1" applyFont="1" applyFill="1" applyBorder="1" applyAlignment="1">
      <alignment horizontal="center"/>
    </xf>
    <xf numFmtId="3" fontId="184" fillId="0" borderId="11" xfId="0" applyNumberFormat="1" applyFont="1" applyBorder="1" applyAlignment="1">
      <alignment horizontal="center"/>
    </xf>
    <xf numFmtId="3" fontId="185" fillId="0" borderId="0" xfId="0" applyNumberFormat="1" applyFont="1" applyAlignment="1">
      <alignment horizontal="center"/>
    </xf>
    <xf numFmtId="0" fontId="164" fillId="0" borderId="12" xfId="0" applyFont="1" applyFill="1" applyBorder="1" applyAlignment="1" applyProtection="1">
      <alignment horizontal="left" vertical="top" wrapText="1"/>
      <protection hidden="1" locked="0"/>
    </xf>
    <xf numFmtId="3" fontId="164" fillId="31" borderId="10" xfId="0" applyNumberFormat="1" applyFont="1" applyFill="1" applyBorder="1" applyAlignment="1">
      <alignment horizontal="center"/>
    </xf>
    <xf numFmtId="3" fontId="164" fillId="0" borderId="11" xfId="0" applyNumberFormat="1" applyFont="1" applyBorder="1" applyAlignment="1">
      <alignment horizontal="center"/>
    </xf>
    <xf numFmtId="0" fontId="165" fillId="0" borderId="0" xfId="0" applyFont="1" applyAlignment="1">
      <alignment horizontal="center"/>
    </xf>
    <xf numFmtId="166" fontId="9" fillId="34" borderId="17" xfId="0" applyNumberFormat="1" applyFont="1" applyFill="1" applyBorder="1" applyAlignment="1">
      <alignment horizontal="left" vertical="center" wrapText="1"/>
    </xf>
    <xf numFmtId="166" fontId="9" fillId="34" borderId="16" xfId="0" applyNumberFormat="1" applyFont="1" applyFill="1" applyBorder="1" applyAlignment="1">
      <alignment horizontal="center" vertical="center"/>
    </xf>
    <xf numFmtId="166" fontId="22" fillId="34" borderId="22" xfId="0" applyNumberFormat="1" applyFont="1" applyFill="1" applyBorder="1" applyAlignment="1">
      <alignment horizontal="center" vertical="center"/>
    </xf>
    <xf numFmtId="0" fontId="8" fillId="35" borderId="20" xfId="0" applyFont="1" applyFill="1" applyBorder="1" applyAlignment="1" applyProtection="1">
      <alignment horizontal="left" vertical="top" wrapText="1"/>
      <protection hidden="1" locked="0"/>
    </xf>
    <xf numFmtId="3" fontId="8" fillId="35" borderId="21" xfId="0" applyNumberFormat="1" applyFont="1" applyFill="1" applyBorder="1" applyAlignment="1">
      <alignment horizontal="center"/>
    </xf>
    <xf numFmtId="3" fontId="8" fillId="35" borderId="23" xfId="0" applyNumberFormat="1" applyFont="1" applyFill="1" applyBorder="1" applyAlignment="1">
      <alignment horizontal="center"/>
    </xf>
    <xf numFmtId="166" fontId="9" fillId="36" borderId="24" xfId="0" applyNumberFormat="1" applyFont="1" applyFill="1" applyBorder="1" applyAlignment="1">
      <alignment horizontal="left" vertical="center" wrapText="1"/>
    </xf>
    <xf numFmtId="166" fontId="22" fillId="36" borderId="25" xfId="0" applyNumberFormat="1" applyFont="1" applyFill="1" applyBorder="1" applyAlignment="1">
      <alignment horizontal="center" vertical="center"/>
    </xf>
    <xf numFmtId="166" fontId="9" fillId="36" borderId="25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164" fontId="7" fillId="31" borderId="10" xfId="0" applyNumberFormat="1" applyFont="1" applyFill="1" applyBorder="1" applyAlignment="1">
      <alignment horizontal="center"/>
    </xf>
    <xf numFmtId="3" fontId="7" fillId="31" borderId="19" xfId="0" applyNumberFormat="1" applyFont="1" applyFill="1" applyBorder="1" applyAlignment="1">
      <alignment horizontal="center"/>
    </xf>
    <xf numFmtId="3" fontId="28" fillId="31" borderId="10" xfId="0" applyNumberFormat="1" applyFont="1" applyFill="1" applyBorder="1" applyAlignment="1">
      <alignment horizontal="center"/>
    </xf>
    <xf numFmtId="3" fontId="28" fillId="31" borderId="14" xfId="0" applyNumberFormat="1" applyFont="1" applyFill="1" applyBorder="1" applyAlignment="1">
      <alignment horizontal="center"/>
    </xf>
    <xf numFmtId="3" fontId="7" fillId="31" borderId="21" xfId="0" applyNumberFormat="1" applyFont="1" applyFill="1" applyBorder="1" applyAlignment="1">
      <alignment horizontal="center"/>
    </xf>
    <xf numFmtId="3" fontId="29" fillId="31" borderId="14" xfId="0" applyNumberFormat="1" applyFont="1" applyFill="1" applyBorder="1" applyAlignment="1">
      <alignment horizontal="center"/>
    </xf>
    <xf numFmtId="3" fontId="29" fillId="31" borderId="16" xfId="0" applyNumberFormat="1" applyFont="1" applyFill="1" applyBorder="1" applyAlignment="1">
      <alignment horizontal="center"/>
    </xf>
    <xf numFmtId="164" fontId="26" fillId="31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9" fontId="88" fillId="31" borderId="14" xfId="0" applyNumberFormat="1" applyFont="1" applyFill="1" applyBorder="1" applyAlignment="1">
      <alignment horizontal="center" wrapText="1"/>
    </xf>
    <xf numFmtId="0" fontId="72" fillId="31" borderId="0" xfId="0" applyFont="1" applyFill="1" applyAlignment="1">
      <alignment horizontal="center" wrapText="1"/>
    </xf>
    <xf numFmtId="3" fontId="186" fillId="31" borderId="10" xfId="0" applyNumberFormat="1" applyFont="1" applyFill="1" applyBorder="1" applyAlignment="1">
      <alignment horizontal="center" wrapText="1"/>
    </xf>
    <xf numFmtId="0" fontId="90" fillId="0" borderId="0" xfId="0" applyFont="1" applyAlignment="1">
      <alignment horizontal="center"/>
    </xf>
    <xf numFmtId="0" fontId="88" fillId="35" borderId="0" xfId="0" applyFont="1" applyFill="1" applyAlignment="1">
      <alignment horizontal="center"/>
    </xf>
    <xf numFmtId="3" fontId="187" fillId="31" borderId="10" xfId="0" applyNumberFormat="1" applyFont="1" applyFill="1" applyBorder="1" applyAlignment="1">
      <alignment horizontal="center"/>
    </xf>
    <xf numFmtId="3" fontId="188" fillId="31" borderId="10" xfId="0" applyNumberFormat="1" applyFont="1" applyFill="1" applyBorder="1" applyAlignment="1">
      <alignment horizontal="center" wrapText="1"/>
    </xf>
    <xf numFmtId="3" fontId="189" fillId="31" borderId="1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 horizontal="left"/>
    </xf>
    <xf numFmtId="164" fontId="8" fillId="0" borderId="11" xfId="0" applyNumberFormat="1" applyFont="1" applyBorder="1" applyAlignment="1">
      <alignment horizontal="center"/>
    </xf>
    <xf numFmtId="164" fontId="90" fillId="0" borderId="0" xfId="0" applyNumberFormat="1" applyFont="1" applyAlignment="1">
      <alignment horizontal="center"/>
    </xf>
    <xf numFmtId="164" fontId="7" fillId="0" borderId="12" xfId="0" applyNumberFormat="1" applyFont="1" applyBorder="1" applyAlignment="1">
      <alignment horizontal="left"/>
    </xf>
    <xf numFmtId="164" fontId="26" fillId="0" borderId="12" xfId="0" applyNumberFormat="1" applyFont="1" applyBorder="1" applyAlignment="1">
      <alignment horizontal="left"/>
    </xf>
    <xf numFmtId="164" fontId="94" fillId="0" borderId="0" xfId="0" applyNumberFormat="1" applyFont="1" applyAlignment="1">
      <alignment horizontal="center"/>
    </xf>
    <xf numFmtId="164" fontId="190" fillId="0" borderId="12" xfId="0" applyNumberFormat="1" applyFont="1" applyBorder="1" applyAlignment="1">
      <alignment horizontal="left" wrapText="1"/>
    </xf>
    <xf numFmtId="164" fontId="191" fillId="31" borderId="10" xfId="0" applyNumberFormat="1" applyFont="1" applyFill="1" applyBorder="1" applyAlignment="1">
      <alignment horizontal="center" wrapText="1"/>
    </xf>
    <xf numFmtId="164" fontId="192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3" fontId="7" fillId="31" borderId="26" xfId="0" applyNumberFormat="1" applyFont="1" applyFill="1" applyBorder="1" applyAlignment="1">
      <alignment horizontal="center"/>
    </xf>
    <xf numFmtId="3" fontId="14" fillId="31" borderId="26" xfId="0" applyNumberFormat="1" applyFont="1" applyFill="1" applyBorder="1" applyAlignment="1">
      <alignment horizontal="center" wrapText="1"/>
    </xf>
    <xf numFmtId="3" fontId="3" fillId="31" borderId="26" xfId="0" applyNumberFormat="1" applyFont="1" applyFill="1" applyBorder="1" applyAlignment="1">
      <alignment horizontal="center" wrapText="1"/>
    </xf>
    <xf numFmtId="3" fontId="9" fillId="31" borderId="26" xfId="0" applyNumberFormat="1" applyFont="1" applyFill="1" applyBorder="1" applyAlignment="1">
      <alignment horizontal="center"/>
    </xf>
    <xf numFmtId="3" fontId="7" fillId="31" borderId="27" xfId="0" applyNumberFormat="1" applyFont="1" applyFill="1" applyBorder="1" applyAlignment="1">
      <alignment horizontal="center"/>
    </xf>
    <xf numFmtId="3" fontId="28" fillId="31" borderId="26" xfId="0" applyNumberFormat="1" applyFont="1" applyFill="1" applyBorder="1" applyAlignment="1">
      <alignment horizontal="center"/>
    </xf>
    <xf numFmtId="3" fontId="28" fillId="31" borderId="28" xfId="0" applyNumberFormat="1" applyFont="1" applyFill="1" applyBorder="1" applyAlignment="1">
      <alignment horizontal="center"/>
    </xf>
    <xf numFmtId="3" fontId="7" fillId="31" borderId="29" xfId="0" applyNumberFormat="1" applyFont="1" applyFill="1" applyBorder="1" applyAlignment="1">
      <alignment horizontal="center"/>
    </xf>
    <xf numFmtId="3" fontId="8" fillId="31" borderId="26" xfId="0" applyNumberFormat="1" applyFont="1" applyFill="1" applyBorder="1" applyAlignment="1">
      <alignment horizontal="center"/>
    </xf>
    <xf numFmtId="3" fontId="29" fillId="31" borderId="28" xfId="0" applyNumberFormat="1" applyFont="1" applyFill="1" applyBorder="1" applyAlignment="1">
      <alignment horizontal="center"/>
    </xf>
    <xf numFmtId="3" fontId="29" fillId="31" borderId="30" xfId="0" applyNumberFormat="1" applyFont="1" applyFill="1" applyBorder="1" applyAlignment="1">
      <alignment horizontal="center"/>
    </xf>
    <xf numFmtId="3" fontId="12" fillId="34" borderId="26" xfId="0" applyNumberFormat="1" applyFont="1" applyFill="1" applyBorder="1" applyAlignment="1">
      <alignment horizontal="center"/>
    </xf>
    <xf numFmtId="3" fontId="8" fillId="35" borderId="26" xfId="0" applyNumberFormat="1" applyFont="1" applyFill="1" applyBorder="1" applyAlignment="1">
      <alignment horizontal="center"/>
    </xf>
    <xf numFmtId="3" fontId="187" fillId="31" borderId="26" xfId="0" applyNumberFormat="1" applyFont="1" applyFill="1" applyBorder="1" applyAlignment="1">
      <alignment horizontal="center"/>
    </xf>
    <xf numFmtId="3" fontId="12" fillId="31" borderId="26" xfId="0" applyNumberFormat="1" applyFont="1" applyFill="1" applyBorder="1" applyAlignment="1">
      <alignment horizontal="center"/>
    </xf>
    <xf numFmtId="3" fontId="154" fillId="31" borderId="26" xfId="0" applyNumberFormat="1" applyFont="1" applyFill="1" applyBorder="1" applyAlignment="1">
      <alignment horizontal="center"/>
    </xf>
    <xf numFmtId="3" fontId="164" fillId="31" borderId="26" xfId="0" applyNumberFormat="1" applyFont="1" applyFill="1" applyBorder="1" applyAlignment="1">
      <alignment horizontal="center"/>
    </xf>
    <xf numFmtId="166" fontId="9" fillId="14" borderId="26" xfId="0" applyNumberFormat="1" applyFont="1" applyFill="1" applyBorder="1" applyAlignment="1">
      <alignment horizontal="center" vertical="center"/>
    </xf>
    <xf numFmtId="9" fontId="8" fillId="31" borderId="28" xfId="0" applyNumberFormat="1" applyFont="1" applyFill="1" applyBorder="1" applyAlignment="1">
      <alignment horizontal="center" wrapText="1"/>
    </xf>
    <xf numFmtId="3" fontId="6" fillId="31" borderId="26" xfId="0" applyNumberFormat="1" applyFont="1" applyFill="1" applyBorder="1" applyAlignment="1">
      <alignment horizontal="center"/>
    </xf>
    <xf numFmtId="166" fontId="9" fillId="36" borderId="26" xfId="0" applyNumberFormat="1" applyFont="1" applyFill="1" applyBorder="1" applyAlignment="1">
      <alignment horizontal="center" vertical="center"/>
    </xf>
    <xf numFmtId="3" fontId="8" fillId="35" borderId="29" xfId="0" applyNumberFormat="1" applyFont="1" applyFill="1" applyBorder="1" applyAlignment="1">
      <alignment horizontal="center"/>
    </xf>
    <xf numFmtId="164" fontId="7" fillId="31" borderId="26" xfId="0" applyNumberFormat="1" applyFont="1" applyFill="1" applyBorder="1" applyAlignment="1">
      <alignment horizontal="center"/>
    </xf>
    <xf numFmtId="9" fontId="163" fillId="0" borderId="12" xfId="0" applyNumberFormat="1" applyFont="1" applyFill="1" applyBorder="1" applyAlignment="1">
      <alignment horizontal="left" wrapText="1"/>
    </xf>
    <xf numFmtId="9" fontId="193" fillId="31" borderId="26" xfId="0" applyNumberFormat="1" applyFont="1" applyFill="1" applyBorder="1" applyAlignment="1">
      <alignment horizontal="center" wrapText="1"/>
    </xf>
    <xf numFmtId="9" fontId="163" fillId="31" borderId="10" xfId="0" applyNumberFormat="1" applyFont="1" applyFill="1" applyBorder="1" applyAlignment="1">
      <alignment horizontal="center" wrapText="1"/>
    </xf>
    <xf numFmtId="9" fontId="194" fillId="31" borderId="10" xfId="0" applyNumberFormat="1" applyFont="1" applyFill="1" applyBorder="1" applyAlignment="1">
      <alignment horizontal="center" vertical="center" wrapText="1"/>
    </xf>
    <xf numFmtId="9" fontId="163" fillId="0" borderId="11" xfId="0" applyNumberFormat="1" applyFont="1" applyFill="1" applyBorder="1" applyAlignment="1">
      <alignment horizontal="center" wrapText="1"/>
    </xf>
    <xf numFmtId="9" fontId="163" fillId="0" borderId="0" xfId="0" applyNumberFormat="1" applyFont="1" applyFill="1" applyAlignment="1">
      <alignment horizontal="center" wrapText="1"/>
    </xf>
    <xf numFmtId="9" fontId="163" fillId="0" borderId="0" xfId="0" applyNumberFormat="1" applyFont="1" applyFill="1" applyAlignment="1">
      <alignment horizontal="center"/>
    </xf>
    <xf numFmtId="9" fontId="193" fillId="0" borderId="0" xfId="0" applyNumberFormat="1" applyFont="1" applyFill="1" applyAlignment="1">
      <alignment horizontal="center"/>
    </xf>
    <xf numFmtId="166" fontId="33" fillId="14" borderId="30" xfId="0" applyNumberFormat="1" applyFont="1" applyFill="1" applyBorder="1" applyAlignment="1">
      <alignment horizontal="center" vertical="center"/>
    </xf>
    <xf numFmtId="3" fontId="73" fillId="14" borderId="26" xfId="0" applyNumberFormat="1" applyFont="1" applyFill="1" applyBorder="1" applyAlignment="1">
      <alignment horizontal="center" wrapText="1"/>
    </xf>
    <xf numFmtId="3" fontId="12" fillId="14" borderId="26" xfId="0" applyNumberFormat="1" applyFont="1" applyFill="1" applyBorder="1" applyAlignment="1">
      <alignment horizontal="center"/>
    </xf>
    <xf numFmtId="3" fontId="154" fillId="14" borderId="26" xfId="0" applyNumberFormat="1" applyFont="1" applyFill="1" applyBorder="1" applyAlignment="1">
      <alignment horizontal="center"/>
    </xf>
    <xf numFmtId="3" fontId="100" fillId="0" borderId="12" xfId="0" applyNumberFormat="1" applyFont="1" applyFill="1" applyBorder="1" applyAlignment="1">
      <alignment horizontal="left" wrapText="1"/>
    </xf>
    <xf numFmtId="3" fontId="25" fillId="31" borderId="10" xfId="0" applyNumberFormat="1" applyFont="1" applyFill="1" applyBorder="1" applyAlignment="1">
      <alignment horizontal="center" wrapText="1"/>
    </xf>
    <xf numFmtId="3" fontId="25" fillId="31" borderId="26" xfId="0" applyNumberFormat="1" applyFont="1" applyFill="1" applyBorder="1" applyAlignment="1">
      <alignment horizontal="center" wrapText="1"/>
    </xf>
    <xf numFmtId="3" fontId="100" fillId="0" borderId="11" xfId="0" applyNumberFormat="1" applyFont="1" applyFill="1" applyBorder="1" applyAlignment="1">
      <alignment horizontal="center" wrapText="1"/>
    </xf>
    <xf numFmtId="3" fontId="100" fillId="0" borderId="0" xfId="0" applyNumberFormat="1" applyFont="1" applyFill="1" applyAlignment="1">
      <alignment horizontal="center" wrapText="1"/>
    </xf>
    <xf numFmtId="3" fontId="100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9" fontId="3" fillId="0" borderId="0" xfId="0" applyNumberFormat="1" applyFont="1" applyFill="1" applyBorder="1" applyAlignment="1">
      <alignment/>
    </xf>
    <xf numFmtId="3" fontId="184" fillId="31" borderId="26" xfId="0" applyNumberFormat="1" applyFont="1" applyFill="1" applyBorder="1" applyAlignment="1">
      <alignment horizontal="center"/>
    </xf>
    <xf numFmtId="164" fontId="195" fillId="0" borderId="12" xfId="0" applyNumberFormat="1" applyFont="1" applyBorder="1" applyAlignment="1">
      <alignment horizontal="left" wrapText="1"/>
    </xf>
    <xf numFmtId="164" fontId="196" fillId="31" borderId="10" xfId="0" applyNumberFormat="1" applyFont="1" applyFill="1" applyBorder="1" applyAlignment="1">
      <alignment horizontal="center" wrapText="1"/>
    </xf>
    <xf numFmtId="164" fontId="197" fillId="0" borderId="0" xfId="0" applyNumberFormat="1" applyFont="1" applyAlignment="1">
      <alignment horizontal="center"/>
    </xf>
    <xf numFmtId="164" fontId="198" fillId="0" borderId="12" xfId="0" applyNumberFormat="1" applyFont="1" applyBorder="1" applyAlignment="1">
      <alignment horizontal="left"/>
    </xf>
    <xf numFmtId="164" fontId="198" fillId="31" borderId="10" xfId="0" applyNumberFormat="1" applyFont="1" applyFill="1" applyBorder="1" applyAlignment="1">
      <alignment horizontal="center"/>
    </xf>
    <xf numFmtId="164" fontId="198" fillId="0" borderId="11" xfId="0" applyNumberFormat="1" applyFont="1" applyBorder="1" applyAlignment="1">
      <alignment horizontal="center"/>
    </xf>
    <xf numFmtId="164" fontId="199" fillId="0" borderId="0" xfId="0" applyNumberFormat="1" applyFont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3" fontId="184" fillId="14" borderId="26" xfId="0" applyNumberFormat="1" applyFont="1" applyFill="1" applyBorder="1" applyAlignment="1">
      <alignment horizontal="center"/>
    </xf>
    <xf numFmtId="17" fontId="200" fillId="0" borderId="10" xfId="0" applyNumberFormat="1" applyFont="1" applyFill="1" applyBorder="1" applyAlignment="1">
      <alignment horizontal="center" wrapText="1"/>
    </xf>
    <xf numFmtId="3" fontId="201" fillId="0" borderId="10" xfId="0" applyNumberFormat="1" applyFont="1" applyFill="1" applyBorder="1" applyAlignment="1">
      <alignment horizontal="center" wrapText="1"/>
    </xf>
    <xf numFmtId="164" fontId="202" fillId="0" borderId="10" xfId="0" applyNumberFormat="1" applyFont="1" applyBorder="1" applyAlignment="1">
      <alignment horizontal="center"/>
    </xf>
    <xf numFmtId="3" fontId="202" fillId="0" borderId="10" xfId="0" applyNumberFormat="1" applyFont="1" applyBorder="1" applyAlignment="1">
      <alignment horizontal="center"/>
    </xf>
    <xf numFmtId="3" fontId="203" fillId="0" borderId="10" xfId="0" applyNumberFormat="1" applyFont="1" applyFill="1" applyBorder="1" applyAlignment="1">
      <alignment horizontal="center" wrapText="1"/>
    </xf>
    <xf numFmtId="3" fontId="204" fillId="0" borderId="10" xfId="0" applyNumberFormat="1" applyFont="1" applyFill="1" applyBorder="1" applyAlignment="1">
      <alignment horizontal="center" wrapText="1"/>
    </xf>
    <xf numFmtId="3" fontId="205" fillId="0" borderId="10" xfId="0" applyNumberFormat="1" applyFont="1" applyBorder="1" applyAlignment="1">
      <alignment horizontal="center"/>
    </xf>
    <xf numFmtId="3" fontId="202" fillId="0" borderId="19" xfId="0" applyNumberFormat="1" applyFont="1" applyBorder="1" applyAlignment="1">
      <alignment horizontal="center"/>
    </xf>
    <xf numFmtId="3" fontId="206" fillId="0" borderId="10" xfId="0" applyNumberFormat="1" applyFont="1" applyBorder="1" applyAlignment="1">
      <alignment horizontal="center"/>
    </xf>
    <xf numFmtId="3" fontId="202" fillId="0" borderId="14" xfId="0" applyNumberFormat="1" applyFont="1" applyBorder="1" applyAlignment="1">
      <alignment horizontal="center"/>
    </xf>
    <xf numFmtId="3" fontId="202" fillId="0" borderId="21" xfId="0" applyNumberFormat="1" applyFont="1" applyBorder="1" applyAlignment="1">
      <alignment horizontal="center"/>
    </xf>
    <xf numFmtId="3" fontId="207" fillId="0" borderId="10" xfId="0" applyNumberFormat="1" applyFont="1" applyBorder="1" applyAlignment="1">
      <alignment horizontal="center"/>
    </xf>
    <xf numFmtId="3" fontId="207" fillId="0" borderId="14" xfId="0" applyNumberFormat="1" applyFont="1" applyBorder="1" applyAlignment="1">
      <alignment horizontal="center"/>
    </xf>
    <xf numFmtId="3" fontId="207" fillId="0" borderId="16" xfId="0" applyNumberFormat="1" applyFont="1" applyBorder="1" applyAlignment="1">
      <alignment horizontal="center"/>
    </xf>
    <xf numFmtId="3" fontId="208" fillId="34" borderId="10" xfId="0" applyNumberFormat="1" applyFont="1" applyFill="1" applyBorder="1" applyAlignment="1">
      <alignment horizontal="center"/>
    </xf>
    <xf numFmtId="3" fontId="207" fillId="35" borderId="10" xfId="0" applyNumberFormat="1" applyFont="1" applyFill="1" applyBorder="1" applyAlignment="1">
      <alignment horizontal="center"/>
    </xf>
    <xf numFmtId="3" fontId="209" fillId="0" borderId="10" xfId="0" applyNumberFormat="1" applyFont="1" applyBorder="1" applyAlignment="1">
      <alignment horizontal="center"/>
    </xf>
    <xf numFmtId="9" fontId="210" fillId="0" borderId="10" xfId="0" applyNumberFormat="1" applyFont="1" applyFill="1" applyBorder="1" applyAlignment="1">
      <alignment horizontal="center" wrapText="1"/>
    </xf>
    <xf numFmtId="164" fontId="211" fillId="0" borderId="10" xfId="0" applyNumberFormat="1" applyFont="1" applyBorder="1" applyAlignment="1">
      <alignment horizontal="center"/>
    </xf>
    <xf numFmtId="3" fontId="208" fillId="0" borderId="10" xfId="0" applyNumberFormat="1" applyFont="1" applyBorder="1" applyAlignment="1">
      <alignment horizontal="center"/>
    </xf>
    <xf numFmtId="164" fontId="212" fillId="31" borderId="10" xfId="0" applyNumberFormat="1" applyFont="1" applyFill="1" applyBorder="1" applyAlignment="1">
      <alignment horizontal="center" wrapText="1"/>
    </xf>
    <xf numFmtId="3" fontId="201" fillId="31" borderId="10" xfId="0" applyNumberFormat="1" applyFont="1" applyFill="1" applyBorder="1" applyAlignment="1">
      <alignment horizontal="center" wrapText="1"/>
    </xf>
    <xf numFmtId="164" fontId="211" fillId="31" borderId="10" xfId="0" applyNumberFormat="1" applyFont="1" applyFill="1" applyBorder="1" applyAlignment="1">
      <alignment horizontal="center"/>
    </xf>
    <xf numFmtId="166" fontId="205" fillId="34" borderId="10" xfId="0" applyNumberFormat="1" applyFont="1" applyFill="1" applyBorder="1" applyAlignment="1">
      <alignment horizontal="center" vertical="center"/>
    </xf>
    <xf numFmtId="9" fontId="210" fillId="0" borderId="14" xfId="0" applyNumberFormat="1" applyFont="1" applyFill="1" applyBorder="1" applyAlignment="1">
      <alignment horizontal="center" wrapText="1"/>
    </xf>
    <xf numFmtId="3" fontId="213" fillId="0" borderId="10" xfId="0" applyNumberFormat="1" applyFont="1" applyBorder="1" applyAlignment="1">
      <alignment horizontal="center"/>
    </xf>
    <xf numFmtId="166" fontId="214" fillId="34" borderId="16" xfId="0" applyNumberFormat="1" applyFont="1" applyFill="1" applyBorder="1" applyAlignment="1">
      <alignment horizontal="center" vertical="center"/>
    </xf>
    <xf numFmtId="166" fontId="214" fillId="36" borderId="25" xfId="0" applyNumberFormat="1" applyFont="1" applyFill="1" applyBorder="1" applyAlignment="1">
      <alignment horizontal="center" vertical="center"/>
    </xf>
    <xf numFmtId="3" fontId="207" fillId="35" borderId="21" xfId="0" applyNumberFormat="1" applyFont="1" applyFill="1" applyBorder="1" applyAlignment="1">
      <alignment horizontal="center"/>
    </xf>
    <xf numFmtId="3" fontId="215" fillId="0" borderId="10" xfId="0" applyNumberFormat="1" applyFont="1" applyFill="1" applyBorder="1" applyAlignment="1">
      <alignment horizontal="center" wrapText="1"/>
    </xf>
    <xf numFmtId="3" fontId="216" fillId="0" borderId="10" xfId="0" applyNumberFormat="1" applyFont="1" applyFill="1" applyBorder="1" applyAlignment="1">
      <alignment horizontal="center" wrapText="1"/>
    </xf>
    <xf numFmtId="3" fontId="215" fillId="0" borderId="0" xfId="0" applyNumberFormat="1" applyFont="1" applyFill="1" applyAlignment="1">
      <alignment horizontal="center" wrapText="1"/>
    </xf>
    <xf numFmtId="0" fontId="215" fillId="0" borderId="0" xfId="0" applyFont="1" applyFill="1" applyAlignment="1">
      <alignment horizontal="center" wrapText="1"/>
    </xf>
    <xf numFmtId="17" fontId="200" fillId="0" borderId="31" xfId="0" applyNumberFormat="1" applyFont="1" applyFill="1" applyBorder="1" applyAlignment="1">
      <alignment horizontal="center" wrapText="1"/>
    </xf>
    <xf numFmtId="3" fontId="201" fillId="0" borderId="31" xfId="0" applyNumberFormat="1" applyFont="1" applyFill="1" applyBorder="1" applyAlignment="1">
      <alignment horizontal="center" wrapText="1"/>
    </xf>
    <xf numFmtId="164" fontId="202" fillId="0" borderId="31" xfId="0" applyNumberFormat="1" applyFont="1" applyBorder="1" applyAlignment="1">
      <alignment horizontal="center"/>
    </xf>
    <xf numFmtId="3" fontId="202" fillId="0" borderId="31" xfId="0" applyNumberFormat="1" applyFont="1" applyBorder="1" applyAlignment="1">
      <alignment horizontal="center"/>
    </xf>
    <xf numFmtId="3" fontId="203" fillId="0" borderId="31" xfId="0" applyNumberFormat="1" applyFont="1" applyFill="1" applyBorder="1" applyAlignment="1">
      <alignment horizontal="center" wrapText="1"/>
    </xf>
    <xf numFmtId="3" fontId="204" fillId="0" borderId="31" xfId="0" applyNumberFormat="1" applyFont="1" applyFill="1" applyBorder="1" applyAlignment="1">
      <alignment horizontal="center" wrapText="1"/>
    </xf>
    <xf numFmtId="3" fontId="205" fillId="0" borderId="31" xfId="0" applyNumberFormat="1" applyFont="1" applyBorder="1" applyAlignment="1">
      <alignment horizontal="center"/>
    </xf>
    <xf numFmtId="3" fontId="202" fillId="0" borderId="32" xfId="0" applyNumberFormat="1" applyFont="1" applyBorder="1" applyAlignment="1">
      <alignment horizontal="center"/>
    </xf>
    <xf numFmtId="3" fontId="206" fillId="0" borderId="31" xfId="0" applyNumberFormat="1" applyFont="1" applyBorder="1" applyAlignment="1">
      <alignment horizontal="center"/>
    </xf>
    <xf numFmtId="3" fontId="202" fillId="0" borderId="33" xfId="0" applyNumberFormat="1" applyFont="1" applyBorder="1" applyAlignment="1">
      <alignment horizontal="center"/>
    </xf>
    <xf numFmtId="3" fontId="202" fillId="0" borderId="34" xfId="0" applyNumberFormat="1" applyFont="1" applyBorder="1" applyAlignment="1">
      <alignment horizontal="center"/>
    </xf>
    <xf numFmtId="3" fontId="207" fillId="0" borderId="31" xfId="0" applyNumberFormat="1" applyFont="1" applyBorder="1" applyAlignment="1">
      <alignment horizontal="center"/>
    </xf>
    <xf numFmtId="3" fontId="207" fillId="0" borderId="33" xfId="0" applyNumberFormat="1" applyFont="1" applyBorder="1" applyAlignment="1">
      <alignment horizontal="center"/>
    </xf>
    <xf numFmtId="3" fontId="207" fillId="0" borderId="35" xfId="0" applyNumberFormat="1" applyFont="1" applyBorder="1" applyAlignment="1">
      <alignment horizontal="center"/>
    </xf>
    <xf numFmtId="3" fontId="208" fillId="34" borderId="31" xfId="0" applyNumberFormat="1" applyFont="1" applyFill="1" applyBorder="1" applyAlignment="1">
      <alignment horizontal="center"/>
    </xf>
    <xf numFmtId="3" fontId="207" fillId="35" borderId="31" xfId="0" applyNumberFormat="1" applyFont="1" applyFill="1" applyBorder="1" applyAlignment="1">
      <alignment horizontal="center"/>
    </xf>
    <xf numFmtId="3" fontId="209" fillId="0" borderId="31" xfId="0" applyNumberFormat="1" applyFont="1" applyBorder="1" applyAlignment="1">
      <alignment horizontal="center"/>
    </xf>
    <xf numFmtId="9" fontId="210" fillId="0" borderId="31" xfId="0" applyNumberFormat="1" applyFont="1" applyFill="1" applyBorder="1" applyAlignment="1">
      <alignment horizontal="center" wrapText="1"/>
    </xf>
    <xf numFmtId="164" fontId="211" fillId="0" borderId="31" xfId="0" applyNumberFormat="1" applyFont="1" applyBorder="1" applyAlignment="1">
      <alignment horizontal="center"/>
    </xf>
    <xf numFmtId="3" fontId="208" fillId="0" borderId="31" xfId="0" applyNumberFormat="1" applyFont="1" applyBorder="1" applyAlignment="1">
      <alignment horizontal="center"/>
    </xf>
    <xf numFmtId="164" fontId="212" fillId="31" borderId="31" xfId="0" applyNumberFormat="1" applyFont="1" applyFill="1" applyBorder="1" applyAlignment="1">
      <alignment horizontal="center" wrapText="1"/>
    </xf>
    <xf numFmtId="3" fontId="201" fillId="31" borderId="31" xfId="0" applyNumberFormat="1" applyFont="1" applyFill="1" applyBorder="1" applyAlignment="1">
      <alignment horizontal="center" wrapText="1"/>
    </xf>
    <xf numFmtId="3" fontId="201" fillId="31" borderId="35" xfId="0" applyNumberFormat="1" applyFont="1" applyFill="1" applyBorder="1" applyAlignment="1">
      <alignment horizontal="center" wrapText="1"/>
    </xf>
    <xf numFmtId="164" fontId="211" fillId="31" borderId="31" xfId="0" applyNumberFormat="1" applyFont="1" applyFill="1" applyBorder="1" applyAlignment="1">
      <alignment horizontal="center"/>
    </xf>
    <xf numFmtId="166" fontId="205" fillId="34" borderId="31" xfId="0" applyNumberFormat="1" applyFont="1" applyFill="1" applyBorder="1" applyAlignment="1">
      <alignment horizontal="center" vertical="center"/>
    </xf>
    <xf numFmtId="9" fontId="210" fillId="0" borderId="33" xfId="0" applyNumberFormat="1" applyFont="1" applyFill="1" applyBorder="1" applyAlignment="1">
      <alignment horizontal="center" wrapText="1"/>
    </xf>
    <xf numFmtId="3" fontId="213" fillId="0" borderId="31" xfId="0" applyNumberFormat="1" applyFont="1" applyBorder="1" applyAlignment="1">
      <alignment horizontal="center"/>
    </xf>
    <xf numFmtId="166" fontId="214" fillId="34" borderId="35" xfId="0" applyNumberFormat="1" applyFont="1" applyFill="1" applyBorder="1" applyAlignment="1">
      <alignment horizontal="center" vertical="center"/>
    </xf>
    <xf numFmtId="3" fontId="207" fillId="35" borderId="34" xfId="0" applyNumberFormat="1" applyFont="1" applyFill="1" applyBorder="1" applyAlignment="1">
      <alignment horizontal="center"/>
    </xf>
    <xf numFmtId="3" fontId="215" fillId="0" borderId="31" xfId="0" applyNumberFormat="1" applyFont="1" applyFill="1" applyBorder="1" applyAlignment="1">
      <alignment horizontal="center" wrapText="1"/>
    </xf>
    <xf numFmtId="3" fontId="216" fillId="0" borderId="31" xfId="0" applyNumberFormat="1" applyFont="1" applyFill="1" applyBorder="1" applyAlignment="1">
      <alignment horizontal="center" wrapText="1"/>
    </xf>
    <xf numFmtId="3" fontId="217" fillId="0" borderId="16" xfId="0" applyNumberFormat="1" applyFont="1" applyBorder="1" applyAlignment="1">
      <alignment horizontal="center"/>
    </xf>
    <xf numFmtId="3" fontId="73" fillId="36" borderId="13" xfId="0" applyNumberFormat="1" applyFont="1" applyFill="1" applyBorder="1" applyAlignment="1">
      <alignment horizontal="left" wrapText="1"/>
    </xf>
    <xf numFmtId="3" fontId="215" fillId="36" borderId="33" xfId="0" applyNumberFormat="1" applyFont="1" applyFill="1" applyBorder="1" applyAlignment="1">
      <alignment horizontal="center" wrapText="1"/>
    </xf>
    <xf numFmtId="3" fontId="72" fillId="36" borderId="14" xfId="0" applyNumberFormat="1" applyFont="1" applyFill="1" applyBorder="1" applyAlignment="1">
      <alignment horizontal="center" wrapText="1"/>
    </xf>
    <xf numFmtId="3" fontId="215" fillId="36" borderId="14" xfId="0" applyNumberFormat="1" applyFont="1" applyFill="1" applyBorder="1" applyAlignment="1">
      <alignment horizontal="center" wrapText="1"/>
    </xf>
    <xf numFmtId="3" fontId="0" fillId="36" borderId="14" xfId="0" applyNumberFormat="1" applyFill="1" applyBorder="1" applyAlignment="1">
      <alignment horizontal="center" wrapText="1"/>
    </xf>
    <xf numFmtId="3" fontId="0" fillId="36" borderId="15" xfId="0" applyNumberFormat="1" applyFill="1" applyBorder="1" applyAlignment="1">
      <alignment horizontal="center" wrapText="1"/>
    </xf>
    <xf numFmtId="166" fontId="72" fillId="0" borderId="12" xfId="0" applyNumberFormat="1" applyFont="1" applyFill="1" applyBorder="1" applyAlignment="1">
      <alignment horizontal="left" wrapText="1"/>
    </xf>
    <xf numFmtId="166" fontId="72" fillId="31" borderId="10" xfId="0" applyNumberFormat="1" applyFont="1" applyFill="1" applyBorder="1" applyAlignment="1">
      <alignment horizontal="center" wrapText="1"/>
    </xf>
    <xf numFmtId="166" fontId="72" fillId="31" borderId="26" xfId="0" applyNumberFormat="1" applyFont="1" applyFill="1" applyBorder="1" applyAlignment="1">
      <alignment horizontal="center" wrapText="1"/>
    </xf>
    <xf numFmtId="166" fontId="152" fillId="31" borderId="10" xfId="0" applyNumberFormat="1" applyFont="1" applyFill="1" applyBorder="1" applyAlignment="1">
      <alignment horizontal="center" wrapText="1"/>
    </xf>
    <xf numFmtId="166" fontId="72" fillId="0" borderId="11" xfId="0" applyNumberFormat="1" applyFont="1" applyFill="1" applyBorder="1" applyAlignment="1">
      <alignment horizontal="center" wrapText="1"/>
    </xf>
    <xf numFmtId="166" fontId="72" fillId="0" borderId="0" xfId="0" applyNumberFormat="1" applyFont="1" applyFill="1" applyAlignment="1">
      <alignment horizontal="center" wrapText="1"/>
    </xf>
    <xf numFmtId="166" fontId="72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72" fillId="0" borderId="31" xfId="0" applyNumberFormat="1" applyFont="1" applyFill="1" applyBorder="1" applyAlignment="1">
      <alignment horizontal="center" wrapText="1"/>
    </xf>
    <xf numFmtId="166" fontId="72" fillId="0" borderId="10" xfId="0" applyNumberFormat="1" applyFont="1" applyFill="1" applyBorder="1" applyAlignment="1">
      <alignment horizontal="center" wrapText="1"/>
    </xf>
    <xf numFmtId="166" fontId="6" fillId="34" borderId="16" xfId="0" applyNumberFormat="1" applyFont="1" applyFill="1" applyBorder="1" applyAlignment="1">
      <alignment wrapText="1"/>
    </xf>
    <xf numFmtId="166" fontId="6" fillId="34" borderId="10" xfId="0" applyNumberFormat="1" applyFont="1" applyFill="1" applyBorder="1" applyAlignment="1">
      <alignment wrapText="1"/>
    </xf>
    <xf numFmtId="166" fontId="6" fillId="34" borderId="16" xfId="0" applyNumberFormat="1" applyFont="1" applyFill="1" applyBorder="1" applyAlignment="1">
      <alignment horizontal="left" wrapText="1"/>
    </xf>
    <xf numFmtId="166" fontId="6" fillId="34" borderId="16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 wrapText="1"/>
    </xf>
    <xf numFmtId="166" fontId="3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wrapText="1"/>
    </xf>
    <xf numFmtId="166" fontId="3" fillId="0" borderId="10" xfId="0" applyNumberFormat="1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/>
    </xf>
    <xf numFmtId="166" fontId="6" fillId="33" borderId="10" xfId="0" applyNumberFormat="1" applyFont="1" applyFill="1" applyBorder="1" applyAlignment="1">
      <alignment wrapText="1"/>
    </xf>
    <xf numFmtId="166" fontId="3" fillId="0" borderId="10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/>
    </xf>
    <xf numFmtId="166" fontId="24" fillId="0" borderId="10" xfId="0" applyNumberFormat="1" applyFont="1" applyBorder="1" applyAlignment="1">
      <alignment vertical="top" wrapText="1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/>
    </xf>
    <xf numFmtId="166" fontId="24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Fill="1" applyBorder="1" applyAlignment="1">
      <alignment/>
    </xf>
    <xf numFmtId="166" fontId="6" fillId="34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wrapText="1"/>
    </xf>
    <xf numFmtId="166" fontId="3" fillId="0" borderId="0" xfId="0" applyNumberFormat="1" applyFont="1" applyFill="1" applyAlignment="1">
      <alignment horizontal="left" wrapText="1"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 vertical="center"/>
    </xf>
    <xf numFmtId="14" fontId="6" fillId="34" borderId="16" xfId="0" applyNumberFormat="1" applyFont="1" applyFill="1" applyBorder="1" applyAlignment="1">
      <alignment wrapText="1"/>
    </xf>
    <xf numFmtId="166" fontId="24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wrapText="1"/>
    </xf>
    <xf numFmtId="166" fontId="24" fillId="0" borderId="10" xfId="0" applyNumberFormat="1" applyFont="1" applyBorder="1" applyAlignment="1">
      <alignment horizontal="left" vertical="top" wrapText="1"/>
    </xf>
    <xf numFmtId="166" fontId="20" fillId="34" borderId="10" xfId="0" applyNumberFormat="1" applyFont="1" applyFill="1" applyBorder="1" applyAlignment="1">
      <alignment wrapText="1"/>
    </xf>
    <xf numFmtId="166" fontId="3" fillId="0" borderId="36" xfId="0" applyNumberFormat="1" applyFont="1" applyFill="1" applyBorder="1" applyAlignment="1">
      <alignment horizontal="left" wrapText="1"/>
    </xf>
    <xf numFmtId="166" fontId="6" fillId="34" borderId="10" xfId="0" applyNumberFormat="1" applyFont="1" applyFill="1" applyBorder="1" applyAlignment="1">
      <alignment horizontal="left" wrapText="1"/>
    </xf>
    <xf numFmtId="166" fontId="6" fillId="34" borderId="10" xfId="0" applyNumberFormat="1" applyFont="1" applyFill="1" applyBorder="1" applyAlignment="1">
      <alignment horizontal="right"/>
    </xf>
    <xf numFmtId="166" fontId="6" fillId="34" borderId="10" xfId="0" applyNumberFormat="1" applyFont="1" applyFill="1" applyBorder="1" applyAlignment="1">
      <alignment horizontal="center" vertical="center"/>
    </xf>
    <xf numFmtId="3" fontId="218" fillId="31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9" fontId="6" fillId="34" borderId="16" xfId="0" applyNumberFormat="1" applyFont="1" applyFill="1" applyBorder="1" applyAlignment="1">
      <alignment wrapText="1"/>
    </xf>
    <xf numFmtId="9" fontId="3" fillId="0" borderId="0" xfId="0" applyNumberFormat="1" applyFont="1" applyFill="1" applyAlignment="1">
      <alignment/>
    </xf>
    <xf numFmtId="3" fontId="201" fillId="0" borderId="12" xfId="0" applyNumberFormat="1" applyFont="1" applyFill="1" applyBorder="1" applyAlignment="1">
      <alignment horizontal="left" wrapText="1"/>
    </xf>
    <xf numFmtId="3" fontId="201" fillId="31" borderId="26" xfId="0" applyNumberFormat="1" applyFont="1" applyFill="1" applyBorder="1" applyAlignment="1">
      <alignment horizontal="center" wrapText="1"/>
    </xf>
    <xf numFmtId="3" fontId="201" fillId="0" borderId="0" xfId="0" applyNumberFormat="1" applyFont="1" applyFill="1" applyAlignment="1">
      <alignment horizontal="center" wrapText="1"/>
    </xf>
    <xf numFmtId="3" fontId="201" fillId="0" borderId="0" xfId="0" applyNumberFormat="1" applyFont="1" applyFill="1" applyAlignment="1">
      <alignment horizontal="center"/>
    </xf>
    <xf numFmtId="3" fontId="213" fillId="0" borderId="0" xfId="0" applyNumberFormat="1" applyFont="1" applyFill="1" applyAlignment="1">
      <alignment horizontal="center"/>
    </xf>
    <xf numFmtId="166" fontId="203" fillId="31" borderId="10" xfId="0" applyNumberFormat="1" applyFont="1" applyFill="1" applyBorder="1" applyAlignment="1">
      <alignment horizontal="center" wrapText="1"/>
    </xf>
    <xf numFmtId="166" fontId="219" fillId="31" borderId="10" xfId="0" applyNumberFormat="1" applyFont="1" applyFill="1" applyBorder="1" applyAlignment="1">
      <alignment horizontal="center" wrapText="1"/>
    </xf>
    <xf numFmtId="166" fontId="219" fillId="14" borderId="26" xfId="0" applyNumberFormat="1" applyFont="1" applyFill="1" applyBorder="1" applyAlignment="1">
      <alignment horizontal="center" wrapText="1"/>
    </xf>
    <xf numFmtId="166" fontId="203" fillId="31" borderId="31" xfId="0" applyNumberFormat="1" applyFont="1" applyFill="1" applyBorder="1" applyAlignment="1">
      <alignment horizontal="center" wrapText="1"/>
    </xf>
    <xf numFmtId="166" fontId="219" fillId="31" borderId="26" xfId="0" applyNumberFormat="1" applyFont="1" applyFill="1" applyBorder="1" applyAlignment="1">
      <alignment horizontal="center" wrapText="1"/>
    </xf>
    <xf numFmtId="166" fontId="220" fillId="0" borderId="0" xfId="0" applyNumberFormat="1" applyFont="1" applyFill="1" applyAlignment="1">
      <alignment horizontal="center"/>
    </xf>
    <xf numFmtId="166" fontId="30" fillId="0" borderId="12" xfId="0" applyNumberFormat="1" applyFont="1" applyBorder="1" applyAlignment="1">
      <alignment horizontal="left" wrapText="1"/>
    </xf>
    <xf numFmtId="0" fontId="72" fillId="0" borderId="10" xfId="0" applyFont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4" fillId="0" borderId="36" xfId="0" applyNumberFormat="1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34" fillId="0" borderId="10" xfId="0" applyFont="1" applyFill="1" applyBorder="1" applyAlignment="1">
      <alignment horizontal="center"/>
    </xf>
    <xf numFmtId="14" fontId="3" fillId="35" borderId="0" xfId="0" applyNumberFormat="1" applyFont="1" applyFill="1" applyAlignment="1">
      <alignment/>
    </xf>
    <xf numFmtId="166" fontId="3" fillId="35" borderId="10" xfId="0" applyNumberFormat="1" applyFont="1" applyFill="1" applyBorder="1" applyAlignment="1">
      <alignment/>
    </xf>
    <xf numFmtId="166" fontId="20" fillId="35" borderId="10" xfId="0" applyNumberFormat="1" applyFont="1" applyFill="1" applyBorder="1" applyAlignment="1">
      <alignment/>
    </xf>
    <xf numFmtId="166" fontId="3" fillId="35" borderId="10" xfId="0" applyNumberFormat="1" applyFont="1" applyFill="1" applyBorder="1" applyAlignment="1">
      <alignment horizontal="left" wrapText="1"/>
    </xf>
    <xf numFmtId="166" fontId="3" fillId="35" borderId="10" xfId="0" applyNumberFormat="1" applyFont="1" applyFill="1" applyBorder="1" applyAlignment="1">
      <alignment horizontal="right"/>
    </xf>
    <xf numFmtId="166" fontId="24" fillId="35" borderId="10" xfId="0" applyNumberFormat="1" applyFont="1" applyFill="1" applyBorder="1" applyAlignment="1">
      <alignment vertical="center"/>
    </xf>
    <xf numFmtId="166" fontId="6" fillId="35" borderId="10" xfId="0" applyNumberFormat="1" applyFont="1" applyFill="1" applyBorder="1" applyAlignment="1">
      <alignment/>
    </xf>
    <xf numFmtId="166" fontId="6" fillId="35" borderId="10" xfId="0" applyNumberFormat="1" applyFont="1" applyFill="1" applyBorder="1" applyAlignment="1">
      <alignment wrapText="1"/>
    </xf>
    <xf numFmtId="166" fontId="3" fillId="35" borderId="10" xfId="0" applyNumberFormat="1" applyFont="1" applyFill="1" applyBorder="1" applyAlignment="1">
      <alignment wrapText="1"/>
    </xf>
    <xf numFmtId="166" fontId="3" fillId="35" borderId="0" xfId="0" applyNumberFormat="1" applyFont="1" applyFill="1" applyBorder="1" applyAlignment="1">
      <alignment/>
    </xf>
    <xf numFmtId="9" fontId="3" fillId="35" borderId="0" xfId="0" applyNumberFormat="1" applyFont="1" applyFill="1" applyBorder="1" applyAlignment="1">
      <alignment/>
    </xf>
    <xf numFmtId="166" fontId="3" fillId="35" borderId="0" xfId="0" applyNumberFormat="1" applyFont="1" applyFill="1" applyAlignment="1">
      <alignment/>
    </xf>
    <xf numFmtId="166" fontId="6" fillId="35" borderId="0" xfId="0" applyNumberFormat="1" applyFont="1" applyFill="1" applyAlignment="1">
      <alignment horizontal="center"/>
    </xf>
    <xf numFmtId="166" fontId="3" fillId="35" borderId="0" xfId="0" applyNumberFormat="1" applyFont="1" applyFill="1" applyAlignment="1">
      <alignment horizontal="center"/>
    </xf>
    <xf numFmtId="166" fontId="20" fillId="35" borderId="10" xfId="0" applyNumberFormat="1" applyFont="1" applyFill="1" applyBorder="1" applyAlignment="1">
      <alignment wrapText="1"/>
    </xf>
    <xf numFmtId="166" fontId="24" fillId="35" borderId="10" xfId="0" applyNumberFormat="1" applyFont="1" applyFill="1" applyBorder="1" applyAlignment="1">
      <alignment vertical="top" wrapText="1"/>
    </xf>
    <xf numFmtId="166" fontId="6" fillId="35" borderId="0" xfId="0" applyNumberFormat="1" applyFont="1" applyFill="1" applyAlignment="1">
      <alignment/>
    </xf>
    <xf numFmtId="0" fontId="73" fillId="35" borderId="10" xfId="0" applyFont="1" applyFill="1" applyBorder="1" applyAlignment="1">
      <alignment/>
    </xf>
    <xf numFmtId="14" fontId="3" fillId="35" borderId="0" xfId="0" applyNumberFormat="1" applyFont="1" applyFill="1" applyBorder="1" applyAlignment="1">
      <alignment/>
    </xf>
    <xf numFmtId="0" fontId="221" fillId="0" borderId="10" xfId="0" applyFont="1" applyFill="1" applyBorder="1" applyAlignment="1">
      <alignment vertical="center"/>
    </xf>
    <xf numFmtId="0" fontId="221" fillId="0" borderId="10" xfId="0" applyFont="1" applyFill="1" applyBorder="1" applyAlignment="1">
      <alignment vertical="center" wrapText="1"/>
    </xf>
    <xf numFmtId="166" fontId="221" fillId="0" borderId="10" xfId="0" applyNumberFormat="1" applyFont="1" applyFill="1" applyBorder="1" applyAlignment="1">
      <alignment/>
    </xf>
    <xf numFmtId="166" fontId="221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6" fontId="221" fillId="0" borderId="10" xfId="0" applyNumberFormat="1" applyFont="1" applyFill="1" applyBorder="1" applyAlignment="1">
      <alignment/>
    </xf>
    <xf numFmtId="0" fontId="221" fillId="0" borderId="10" xfId="0" applyFont="1" applyFill="1" applyBorder="1" applyAlignment="1">
      <alignment/>
    </xf>
    <xf numFmtId="166" fontId="22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166" fontId="223" fillId="0" borderId="10" xfId="0" applyNumberFormat="1" applyFont="1" applyFill="1" applyBorder="1" applyAlignment="1">
      <alignment/>
    </xf>
    <xf numFmtId="166" fontId="223" fillId="0" borderId="10" xfId="0" applyNumberFormat="1" applyFont="1" applyFill="1" applyBorder="1" applyAlignment="1">
      <alignment wrapText="1"/>
    </xf>
    <xf numFmtId="0" fontId="224" fillId="0" borderId="10" xfId="0" applyFont="1" applyBorder="1" applyAlignment="1">
      <alignment wrapText="1"/>
    </xf>
    <xf numFmtId="3" fontId="224" fillId="0" borderId="10" xfId="0" applyNumberFormat="1" applyFont="1" applyBorder="1" applyAlignment="1">
      <alignment horizontal="center" vertical="center" wrapText="1"/>
    </xf>
    <xf numFmtId="0" fontId="224" fillId="0" borderId="0" xfId="0" applyFont="1" applyAlignment="1">
      <alignment wrapText="1"/>
    </xf>
    <xf numFmtId="0" fontId="34" fillId="0" borderId="10" xfId="0" applyFont="1" applyFill="1" applyBorder="1" applyAlignment="1">
      <alignment vertical="center"/>
    </xf>
    <xf numFmtId="2" fontId="34" fillId="0" borderId="10" xfId="33" applyNumberFormat="1" applyFont="1" applyFill="1" applyBorder="1" applyAlignment="1">
      <alignment horizontal="left" vertical="center"/>
      <protection/>
    </xf>
    <xf numFmtId="0" fontId="3" fillId="0" borderId="36" xfId="0" applyFont="1" applyFill="1" applyBorder="1" applyAlignment="1">
      <alignment horizontal="left" wrapText="1"/>
    </xf>
    <xf numFmtId="166" fontId="225" fillId="0" borderId="10" xfId="0" applyNumberFormat="1" applyFont="1" applyFill="1" applyBorder="1" applyAlignment="1">
      <alignment/>
    </xf>
    <xf numFmtId="166" fontId="24" fillId="0" borderId="36" xfId="0" applyNumberFormat="1" applyFont="1" applyBorder="1" applyAlignment="1">
      <alignment horizontal="left" vertical="top" wrapText="1"/>
    </xf>
    <xf numFmtId="166" fontId="24" fillId="35" borderId="10" xfId="0" applyNumberFormat="1" applyFont="1" applyFill="1" applyBorder="1" applyAlignment="1">
      <alignment horizontal="center" vertical="center"/>
    </xf>
    <xf numFmtId="166" fontId="3" fillId="35" borderId="10" xfId="0" applyNumberFormat="1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/>
    </xf>
    <xf numFmtId="2" fontId="34" fillId="35" borderId="10" xfId="33" applyNumberFormat="1" applyFont="1" applyFill="1" applyBorder="1" applyAlignment="1">
      <alignment horizontal="left" vertical="center"/>
      <protection/>
    </xf>
    <xf numFmtId="0" fontId="185" fillId="0" borderId="0" xfId="0" applyFont="1" applyAlignment="1">
      <alignment wrapText="1"/>
    </xf>
    <xf numFmtId="0" fontId="185" fillId="0" borderId="10" xfId="0" applyFont="1" applyBorder="1" applyAlignment="1">
      <alignment/>
    </xf>
    <xf numFmtId="0" fontId="185" fillId="0" borderId="10" xfId="0" applyFont="1" applyBorder="1" applyAlignment="1">
      <alignment wrapText="1"/>
    </xf>
    <xf numFmtId="3" fontId="185" fillId="0" borderId="10" xfId="0" applyNumberFormat="1" applyFont="1" applyBorder="1" applyAlignment="1">
      <alignment horizontal="center" vertical="center" wrapText="1"/>
    </xf>
    <xf numFmtId="0" fontId="186" fillId="0" borderId="0" xfId="0" applyFont="1" applyAlignment="1">
      <alignment wrapText="1"/>
    </xf>
    <xf numFmtId="0" fontId="186" fillId="0" borderId="10" xfId="0" applyFont="1" applyBorder="1" applyAlignment="1">
      <alignment/>
    </xf>
    <xf numFmtId="0" fontId="186" fillId="0" borderId="10" xfId="0" applyFont="1" applyBorder="1" applyAlignment="1">
      <alignment wrapText="1"/>
    </xf>
    <xf numFmtId="3" fontId="18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0" fontId="22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86" fillId="0" borderId="10" xfId="0" applyFont="1" applyBorder="1" applyAlignment="1">
      <alignment horizontal="center" wrapText="1"/>
    </xf>
    <xf numFmtId="0" fontId="185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0" fillId="0" borderId="10" xfId="0" applyFont="1" applyBorder="1" applyAlignment="1">
      <alignment wrapText="1"/>
    </xf>
    <xf numFmtId="166" fontId="226" fillId="0" borderId="10" xfId="0" applyNumberFormat="1" applyFont="1" applyFill="1" applyBorder="1" applyAlignment="1">
      <alignment wrapText="1"/>
    </xf>
    <xf numFmtId="3" fontId="220" fillId="0" borderId="10" xfId="0" applyNumberFormat="1" applyFont="1" applyBorder="1" applyAlignment="1">
      <alignment horizontal="center" vertical="center" wrapText="1"/>
    </xf>
    <xf numFmtId="0" fontId="220" fillId="0" borderId="0" xfId="0" applyFont="1" applyAlignment="1">
      <alignment wrapText="1"/>
    </xf>
    <xf numFmtId="0" fontId="220" fillId="0" borderId="10" xfId="0" applyFont="1" applyBorder="1" applyAlignment="1">
      <alignment horizontal="center" wrapText="1"/>
    </xf>
    <xf numFmtId="3" fontId="227" fillId="31" borderId="10" xfId="0" applyNumberFormat="1" applyFont="1" applyFill="1" applyBorder="1" applyAlignment="1">
      <alignment horizontal="center"/>
    </xf>
    <xf numFmtId="0" fontId="140" fillId="0" borderId="10" xfId="43" applyBorder="1" applyAlignment="1">
      <alignment wrapText="1"/>
    </xf>
    <xf numFmtId="0" fontId="152" fillId="0" borderId="0" xfId="0" applyFont="1" applyAlignment="1">
      <alignment wrapText="1"/>
    </xf>
    <xf numFmtId="0" fontId="152" fillId="0" borderId="10" xfId="0" applyFont="1" applyBorder="1" applyAlignment="1">
      <alignment wrapText="1"/>
    </xf>
    <xf numFmtId="166" fontId="26" fillId="35" borderId="10" xfId="0" applyNumberFormat="1" applyFont="1" applyFill="1" applyBorder="1" applyAlignment="1">
      <alignment vertical="center"/>
    </xf>
    <xf numFmtId="0" fontId="72" fillId="0" borderId="10" xfId="0" applyFont="1" applyBorder="1" applyAlignment="1">
      <alignment wrapText="1"/>
    </xf>
    <xf numFmtId="166" fontId="228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166" fontId="228" fillId="0" borderId="0" xfId="0" applyNumberFormat="1" applyFont="1" applyFill="1" applyBorder="1" applyAlignment="1">
      <alignment/>
    </xf>
    <xf numFmtId="0" fontId="186" fillId="0" borderId="0" xfId="0" applyFont="1" applyBorder="1" applyAlignment="1">
      <alignment wrapText="1"/>
    </xf>
    <xf numFmtId="166" fontId="228" fillId="0" borderId="0" xfId="0" applyNumberFormat="1" applyFont="1" applyFill="1" applyBorder="1" applyAlignment="1">
      <alignment wrapText="1"/>
    </xf>
    <xf numFmtId="3" fontId="18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186" fillId="0" borderId="0" xfId="0" applyFont="1" applyBorder="1" applyAlignment="1">
      <alignment horizontal="center" wrapText="1"/>
    </xf>
    <xf numFmtId="17" fontId="229" fillId="0" borderId="10" xfId="0" applyNumberFormat="1" applyFont="1" applyFill="1" applyBorder="1" applyAlignment="1">
      <alignment horizontal="center" vertical="center" wrapText="1"/>
    </xf>
    <xf numFmtId="3" fontId="152" fillId="0" borderId="10" xfId="0" applyNumberFormat="1" applyFont="1" applyBorder="1" applyAlignment="1">
      <alignment horizontal="center" vertical="center" wrapText="1"/>
    </xf>
    <xf numFmtId="0" fontId="152" fillId="0" borderId="10" xfId="0" applyFont="1" applyBorder="1" applyAlignment="1">
      <alignment horizontal="center" wrapText="1"/>
    </xf>
    <xf numFmtId="3" fontId="72" fillId="0" borderId="10" xfId="0" applyNumberFormat="1" applyFont="1" applyBorder="1" applyAlignment="1">
      <alignment horizontal="center" vertical="center" wrapText="1"/>
    </xf>
    <xf numFmtId="3" fontId="127" fillId="0" borderId="10" xfId="43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wrapText="1"/>
    </xf>
    <xf numFmtId="0" fontId="72" fillId="0" borderId="0" xfId="0" applyFont="1" applyAlignment="1">
      <alignment wrapText="1"/>
    </xf>
    <xf numFmtId="166" fontId="223" fillId="0" borderId="10" xfId="0" applyNumberFormat="1" applyFont="1" applyFill="1" applyBorder="1" applyAlignment="1">
      <alignment/>
    </xf>
    <xf numFmtId="0" fontId="224" fillId="0" borderId="10" xfId="0" applyFont="1" applyBorder="1" applyAlignment="1">
      <alignment horizontal="center" wrapText="1"/>
    </xf>
    <xf numFmtId="0" fontId="188" fillId="0" borderId="10" xfId="0" applyFont="1" applyBorder="1" applyAlignment="1">
      <alignment wrapText="1"/>
    </xf>
    <xf numFmtId="0" fontId="144" fillId="0" borderId="10" xfId="0" applyFont="1" applyBorder="1" applyAlignment="1">
      <alignment/>
    </xf>
    <xf numFmtId="0" fontId="144" fillId="0" borderId="10" xfId="0" applyFont="1" applyBorder="1" applyAlignment="1">
      <alignment wrapText="1"/>
    </xf>
    <xf numFmtId="3" fontId="144" fillId="0" borderId="10" xfId="0" applyNumberFormat="1" applyFont="1" applyBorder="1" applyAlignment="1">
      <alignment horizontal="center" vertical="center" wrapText="1"/>
    </xf>
    <xf numFmtId="0" fontId="224" fillId="0" borderId="10" xfId="0" applyFont="1" applyBorder="1" applyAlignment="1">
      <alignment/>
    </xf>
    <xf numFmtId="14" fontId="224" fillId="0" borderId="10" xfId="0" applyNumberFormat="1" applyFont="1" applyBorder="1" applyAlignment="1">
      <alignment/>
    </xf>
    <xf numFmtId="0" fontId="127" fillId="0" borderId="10" xfId="43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2" fillId="0" borderId="10" xfId="0" applyFont="1" applyFill="1" applyBorder="1" applyAlignment="1">
      <alignment wrapText="1"/>
    </xf>
    <xf numFmtId="0" fontId="224" fillId="0" borderId="10" xfId="0" applyFont="1" applyFill="1" applyBorder="1" applyAlignment="1">
      <alignment/>
    </xf>
    <xf numFmtId="0" fontId="144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85" fillId="0" borderId="10" xfId="0" applyFont="1" applyFill="1" applyBorder="1" applyAlignment="1">
      <alignment wrapText="1"/>
    </xf>
    <xf numFmtId="3" fontId="230" fillId="31" borderId="10" xfId="0" applyNumberFormat="1" applyFont="1" applyFill="1" applyBorder="1" applyAlignment="1">
      <alignment horizontal="center"/>
    </xf>
    <xf numFmtId="0" fontId="37" fillId="0" borderId="12" xfId="0" applyFont="1" applyFill="1" applyBorder="1" applyAlignment="1" applyProtection="1">
      <alignment horizontal="left" vertical="top" wrapText="1"/>
      <protection hidden="1" locked="0"/>
    </xf>
    <xf numFmtId="3" fontId="37" fillId="0" borderId="31" xfId="0" applyNumberFormat="1" applyFont="1" applyBorder="1" applyAlignment="1">
      <alignment horizontal="center"/>
    </xf>
    <xf numFmtId="3" fontId="37" fillId="31" borderId="10" xfId="0" applyNumberFormat="1" applyFont="1" applyFill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3" fontId="37" fillId="31" borderId="26" xfId="0" applyNumberFormat="1" applyFont="1" applyFill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0" fontId="128" fillId="0" borderId="0" xfId="0" applyFont="1" applyAlignment="1">
      <alignment horizontal="center"/>
    </xf>
    <xf numFmtId="3" fontId="73" fillId="31" borderId="26" xfId="0" applyNumberFormat="1" applyFont="1" applyFill="1" applyBorder="1" applyAlignment="1">
      <alignment horizontal="center" wrapText="1"/>
    </xf>
    <xf numFmtId="0" fontId="0" fillId="0" borderId="31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185" fillId="0" borderId="10" xfId="0" applyNumberFormat="1" applyFont="1" applyBorder="1" applyAlignment="1">
      <alignment wrapText="1"/>
    </xf>
    <xf numFmtId="3" fontId="220" fillId="0" borderId="10" xfId="0" applyNumberFormat="1" applyFont="1" applyBorder="1" applyAlignment="1">
      <alignment wrapText="1"/>
    </xf>
    <xf numFmtId="3" fontId="72" fillId="0" borderId="10" xfId="0" applyNumberFormat="1" applyFont="1" applyBorder="1" applyAlignment="1">
      <alignment wrapText="1"/>
    </xf>
    <xf numFmtId="3" fontId="224" fillId="0" borderId="10" xfId="0" applyNumberFormat="1" applyFont="1" applyBorder="1" applyAlignment="1">
      <alignment wrapText="1"/>
    </xf>
    <xf numFmtId="3" fontId="152" fillId="0" borderId="10" xfId="0" applyNumberFormat="1" applyFont="1" applyBorder="1" applyAlignment="1">
      <alignment wrapText="1"/>
    </xf>
    <xf numFmtId="3" fontId="144" fillId="0" borderId="10" xfId="0" applyNumberFormat="1" applyFont="1" applyBorder="1" applyAlignment="1">
      <alignment wrapText="1"/>
    </xf>
    <xf numFmtId="3" fontId="186" fillId="0" borderId="0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186" fillId="0" borderId="10" xfId="0" applyFont="1" applyFill="1" applyBorder="1" applyAlignment="1">
      <alignment wrapText="1"/>
    </xf>
    <xf numFmtId="3" fontId="186" fillId="0" borderId="10" xfId="0" applyNumberFormat="1" applyFont="1" applyBorder="1" applyAlignment="1">
      <alignment wrapText="1"/>
    </xf>
    <xf numFmtId="166" fontId="231" fillId="37" borderId="10" xfId="0" applyNumberFormat="1" applyFont="1" applyFill="1" applyBorder="1" applyAlignment="1">
      <alignment/>
    </xf>
    <xf numFmtId="166" fontId="231" fillId="0" borderId="10" xfId="0" applyNumberFormat="1" applyFont="1" applyFill="1" applyBorder="1" applyAlignment="1">
      <alignment/>
    </xf>
    <xf numFmtId="166" fontId="231" fillId="0" borderId="10" xfId="0" applyNumberFormat="1" applyFont="1" applyFill="1" applyBorder="1" applyAlignment="1">
      <alignment wrapText="1"/>
    </xf>
    <xf numFmtId="0" fontId="232" fillId="0" borderId="10" xfId="0" applyFont="1" applyBorder="1" applyAlignment="1">
      <alignment wrapText="1"/>
    </xf>
    <xf numFmtId="3" fontId="232" fillId="0" borderId="10" xfId="0" applyNumberFormat="1" applyFont="1" applyBorder="1" applyAlignment="1">
      <alignment horizontal="center" vertical="center" wrapText="1"/>
    </xf>
    <xf numFmtId="3" fontId="232" fillId="0" borderId="10" xfId="0" applyNumberFormat="1" applyFont="1" applyBorder="1" applyAlignment="1">
      <alignment wrapText="1"/>
    </xf>
    <xf numFmtId="0" fontId="232" fillId="0" borderId="0" xfId="0" applyFont="1" applyAlignment="1">
      <alignment wrapText="1"/>
    </xf>
    <xf numFmtId="3" fontId="233" fillId="31" borderId="10" xfId="0" applyNumberFormat="1" applyFont="1" applyFill="1" applyBorder="1" applyAlignment="1">
      <alignment horizontal="center"/>
    </xf>
    <xf numFmtId="0" fontId="186" fillId="0" borderId="0" xfId="0" applyFont="1" applyAlignment="1">
      <alignment/>
    </xf>
    <xf numFmtId="3" fontId="186" fillId="0" borderId="0" xfId="0" applyNumberFormat="1" applyFont="1" applyAlignment="1">
      <alignment horizontal="center" vertical="center" wrapText="1"/>
    </xf>
    <xf numFmtId="0" fontId="186" fillId="0" borderId="0" xfId="0" applyFont="1" applyAlignment="1">
      <alignment horizontal="center" wrapText="1"/>
    </xf>
    <xf numFmtId="3" fontId="186" fillId="0" borderId="0" xfId="0" applyNumberFormat="1" applyFont="1" applyAlignment="1">
      <alignment wrapText="1"/>
    </xf>
    <xf numFmtId="0" fontId="152" fillId="0" borderId="10" xfId="0" applyFont="1" applyBorder="1" applyAlignment="1">
      <alignment/>
    </xf>
    <xf numFmtId="0" fontId="152" fillId="0" borderId="10" xfId="0" applyFont="1" applyFill="1" applyBorder="1" applyAlignment="1">
      <alignment wrapText="1"/>
    </xf>
    <xf numFmtId="0" fontId="224" fillId="0" borderId="10" xfId="0" applyFont="1" applyFill="1" applyBorder="1" applyAlignment="1">
      <alignment wrapText="1"/>
    </xf>
    <xf numFmtId="166" fontId="231" fillId="0" borderId="10" xfId="0" applyNumberFormat="1" applyFont="1" applyFill="1" applyBorder="1" applyAlignment="1">
      <alignment/>
    </xf>
    <xf numFmtId="3" fontId="234" fillId="0" borderId="10" xfId="43" applyNumberFormat="1" applyFont="1" applyBorder="1" applyAlignment="1">
      <alignment horizontal="center" vertical="center" wrapText="1"/>
    </xf>
    <xf numFmtId="0" fontId="224" fillId="0" borderId="10" xfId="0" applyFont="1" applyBorder="1" applyAlignment="1">
      <alignment/>
    </xf>
    <xf numFmtId="0" fontId="235" fillId="0" borderId="10" xfId="43" applyFont="1" applyBorder="1" applyAlignment="1">
      <alignment wrapText="1"/>
    </xf>
    <xf numFmtId="0" fontId="72" fillId="0" borderId="21" xfId="0" applyFont="1" applyBorder="1" applyAlignment="1">
      <alignment wrapText="1"/>
    </xf>
    <xf numFmtId="3" fontId="72" fillId="0" borderId="21" xfId="0" applyNumberFormat="1" applyFont="1" applyBorder="1" applyAlignment="1">
      <alignment horizontal="center" vertical="center" wrapText="1"/>
    </xf>
    <xf numFmtId="3" fontId="72" fillId="0" borderId="21" xfId="0" applyNumberFormat="1" applyFont="1" applyBorder="1" applyAlignment="1">
      <alignment wrapText="1"/>
    </xf>
    <xf numFmtId="166" fontId="2" fillId="0" borderId="21" xfId="0" applyNumberFormat="1" applyFont="1" applyFill="1" applyBorder="1" applyAlignment="1">
      <alignment/>
    </xf>
    <xf numFmtId="166" fontId="2" fillId="0" borderId="21" xfId="0" applyNumberFormat="1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72" fillId="0" borderId="16" xfId="0" applyFont="1" applyBorder="1" applyAlignment="1">
      <alignment/>
    </xf>
    <xf numFmtId="0" fontId="72" fillId="0" borderId="16" xfId="0" applyFont="1" applyFill="1" applyBorder="1" applyAlignment="1">
      <alignment wrapText="1"/>
    </xf>
    <xf numFmtId="0" fontId="72" fillId="0" borderId="16" xfId="0" applyFont="1" applyBorder="1" applyAlignment="1">
      <alignment wrapText="1"/>
    </xf>
    <xf numFmtId="3" fontId="72" fillId="0" borderId="16" xfId="0" applyNumberFormat="1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wrapText="1"/>
    </xf>
    <xf numFmtId="3" fontId="72" fillId="0" borderId="0" xfId="0" applyNumberFormat="1" applyFont="1" applyBorder="1" applyAlignment="1">
      <alignment wrapText="1"/>
    </xf>
    <xf numFmtId="3" fontId="72" fillId="0" borderId="16" xfId="0" applyNumberFormat="1" applyFont="1" applyBorder="1" applyAlignment="1">
      <alignment wrapText="1"/>
    </xf>
    <xf numFmtId="166" fontId="20" fillId="35" borderId="10" xfId="0" applyNumberFormat="1" applyFont="1" applyFill="1" applyBorder="1" applyAlignment="1">
      <alignment/>
    </xf>
    <xf numFmtId="166" fontId="20" fillId="0" borderId="10" xfId="0" applyNumberFormat="1" applyFont="1" applyFill="1" applyBorder="1" applyAlignment="1">
      <alignment wrapText="1"/>
    </xf>
    <xf numFmtId="17" fontId="229" fillId="0" borderId="24" xfId="0" applyNumberFormat="1" applyFont="1" applyFill="1" applyBorder="1" applyAlignment="1">
      <alignment horizontal="center" vertical="center" wrapText="1"/>
    </xf>
    <xf numFmtId="17" fontId="229" fillId="0" borderId="31" xfId="0" applyNumberFormat="1" applyFont="1" applyFill="1" applyBorder="1" applyAlignment="1">
      <alignment horizontal="center" vertical="center" wrapText="1"/>
    </xf>
    <xf numFmtId="0" fontId="221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wrapText="1"/>
    </xf>
    <xf numFmtId="166" fontId="221" fillId="0" borderId="24" xfId="0" applyNumberFormat="1" applyFont="1" applyFill="1" applyBorder="1" applyAlignment="1">
      <alignment/>
    </xf>
    <xf numFmtId="166" fontId="221" fillId="0" borderId="24" xfId="0" applyNumberFormat="1" applyFont="1" applyFill="1" applyBorder="1" applyAlignment="1">
      <alignment wrapText="1"/>
    </xf>
    <xf numFmtId="166" fontId="221" fillId="0" borderId="24" xfId="0" applyNumberFormat="1" applyFont="1" applyFill="1" applyBorder="1" applyAlignment="1">
      <alignment/>
    </xf>
    <xf numFmtId="0" fontId="152" fillId="0" borderId="24" xfId="0" applyFont="1" applyFill="1" applyBorder="1" applyAlignment="1">
      <alignment wrapText="1"/>
    </xf>
    <xf numFmtId="166" fontId="2" fillId="0" borderId="24" xfId="0" applyNumberFormat="1" applyFont="1" applyFill="1" applyBorder="1" applyAlignment="1">
      <alignment/>
    </xf>
    <xf numFmtId="0" fontId="72" fillId="0" borderId="24" xfId="0" applyFont="1" applyFill="1" applyBorder="1" applyAlignment="1">
      <alignment/>
    </xf>
    <xf numFmtId="166" fontId="223" fillId="0" borderId="24" xfId="0" applyNumberFormat="1" applyFont="1" applyFill="1" applyBorder="1" applyAlignment="1">
      <alignment/>
    </xf>
    <xf numFmtId="166" fontId="225" fillId="0" borderId="24" xfId="0" applyNumberFormat="1" applyFont="1" applyFill="1" applyBorder="1" applyAlignment="1">
      <alignment/>
    </xf>
    <xf numFmtId="0" fontId="221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86" fillId="0" borderId="24" xfId="0" applyFont="1" applyFill="1" applyBorder="1" applyAlignment="1">
      <alignment wrapText="1"/>
    </xf>
    <xf numFmtId="0" fontId="224" fillId="0" borderId="24" xfId="0" applyFont="1" applyFill="1" applyBorder="1" applyAlignment="1">
      <alignment wrapText="1"/>
    </xf>
    <xf numFmtId="0" fontId="224" fillId="0" borderId="24" xfId="0" applyFont="1" applyFill="1" applyBorder="1" applyAlignment="1">
      <alignment/>
    </xf>
    <xf numFmtId="166" fontId="223" fillId="0" borderId="24" xfId="0" applyNumberFormat="1" applyFont="1" applyFill="1" applyBorder="1" applyAlignment="1">
      <alignment wrapText="1"/>
    </xf>
    <xf numFmtId="166" fontId="223" fillId="0" borderId="24" xfId="0" applyNumberFormat="1" applyFont="1" applyFill="1" applyBorder="1" applyAlignment="1">
      <alignment/>
    </xf>
    <xf numFmtId="0" fontId="186" fillId="0" borderId="24" xfId="0" applyFont="1" applyBorder="1" applyAlignment="1">
      <alignment/>
    </xf>
    <xf numFmtId="0" fontId="185" fillId="0" borderId="24" xfId="0" applyFont="1" applyFill="1" applyBorder="1" applyAlignment="1">
      <alignment wrapText="1"/>
    </xf>
    <xf numFmtId="166" fontId="2" fillId="0" borderId="24" xfId="0" applyNumberFormat="1" applyFont="1" applyFill="1" applyBorder="1" applyAlignment="1">
      <alignment wrapText="1"/>
    </xf>
    <xf numFmtId="0" fontId="72" fillId="0" borderId="37" xfId="0" applyFont="1" applyFill="1" applyBorder="1" applyAlignment="1">
      <alignment wrapText="1"/>
    </xf>
    <xf numFmtId="166" fontId="231" fillId="0" borderId="24" xfId="0" applyNumberFormat="1" applyFont="1" applyFill="1" applyBorder="1" applyAlignment="1">
      <alignment/>
    </xf>
    <xf numFmtId="166" fontId="231" fillId="0" borderId="24" xfId="0" applyNumberFormat="1" applyFont="1" applyFill="1" applyBorder="1" applyAlignment="1">
      <alignment/>
    </xf>
    <xf numFmtId="166" fontId="2" fillId="0" borderId="38" xfId="0" applyNumberFormat="1" applyFont="1" applyFill="1" applyBorder="1" applyAlignment="1">
      <alignment/>
    </xf>
    <xf numFmtId="0" fontId="72" fillId="0" borderId="24" xfId="0" applyFont="1" applyFill="1" applyBorder="1" applyAlignment="1">
      <alignment wrapText="1"/>
    </xf>
    <xf numFmtId="166" fontId="2" fillId="0" borderId="24" xfId="0" applyNumberFormat="1" applyFont="1" applyFill="1" applyBorder="1" applyAlignment="1">
      <alignment/>
    </xf>
    <xf numFmtId="166" fontId="226" fillId="0" borderId="24" xfId="0" applyNumberFormat="1" applyFont="1" applyFill="1" applyBorder="1" applyAlignment="1">
      <alignment wrapText="1"/>
    </xf>
    <xf numFmtId="0" fontId="0" fillId="0" borderId="24" xfId="0" applyFill="1" applyBorder="1" applyAlignment="1">
      <alignment/>
    </xf>
    <xf numFmtId="0" fontId="144" fillId="0" borderId="24" xfId="0" applyFont="1" applyFill="1" applyBorder="1" applyAlignment="1">
      <alignment wrapText="1"/>
    </xf>
    <xf numFmtId="3" fontId="0" fillId="0" borderId="31" xfId="0" applyNumberFormat="1" applyFont="1" applyBorder="1" applyAlignment="1">
      <alignment horizontal="center" vertical="center" wrapText="1"/>
    </xf>
    <xf numFmtId="3" fontId="152" fillId="0" borderId="31" xfId="0" applyNumberFormat="1" applyFont="1" applyBorder="1" applyAlignment="1">
      <alignment horizontal="center" vertical="center" wrapText="1"/>
    </xf>
    <xf numFmtId="3" fontId="72" fillId="0" borderId="31" xfId="0" applyNumberFormat="1" applyFont="1" applyBorder="1" applyAlignment="1">
      <alignment horizontal="center" vertical="center" wrapText="1"/>
    </xf>
    <xf numFmtId="3" fontId="224" fillId="0" borderId="31" xfId="0" applyNumberFormat="1" applyFont="1" applyBorder="1" applyAlignment="1">
      <alignment horizontal="center" vertical="center" wrapText="1"/>
    </xf>
    <xf numFmtId="3" fontId="186" fillId="0" borderId="31" xfId="0" applyNumberFormat="1" applyFont="1" applyBorder="1" applyAlignment="1">
      <alignment horizontal="center" vertical="center" wrapText="1"/>
    </xf>
    <xf numFmtId="0" fontId="224" fillId="0" borderId="31" xfId="0" applyFont="1" applyBorder="1" applyAlignment="1">
      <alignment/>
    </xf>
    <xf numFmtId="3" fontId="185" fillId="0" borderId="31" xfId="0" applyNumberFormat="1" applyFont="1" applyBorder="1" applyAlignment="1">
      <alignment horizontal="center" vertical="center" wrapText="1"/>
    </xf>
    <xf numFmtId="3" fontId="232" fillId="0" borderId="31" xfId="0" applyNumberFormat="1" applyFont="1" applyBorder="1" applyAlignment="1">
      <alignment horizontal="center" vertical="center" wrapText="1"/>
    </xf>
    <xf numFmtId="3" fontId="220" fillId="0" borderId="31" xfId="0" applyNumberFormat="1" applyFont="1" applyBorder="1" applyAlignment="1">
      <alignment horizontal="center" vertical="center" wrapText="1"/>
    </xf>
    <xf numFmtId="3" fontId="144" fillId="0" borderId="31" xfId="0" applyNumberFormat="1" applyFont="1" applyBorder="1" applyAlignment="1">
      <alignment horizontal="center" vertical="center" wrapText="1"/>
    </xf>
    <xf numFmtId="17" fontId="229" fillId="0" borderId="12" xfId="0" applyNumberFormat="1" applyFont="1" applyFill="1" applyBorder="1" applyAlignment="1">
      <alignment horizontal="center" vertical="center" wrapText="1"/>
    </xf>
    <xf numFmtId="17" fontId="229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152" fillId="0" borderId="12" xfId="0" applyNumberFormat="1" applyFont="1" applyBorder="1" applyAlignment="1">
      <alignment horizontal="center" vertical="center" wrapText="1"/>
    </xf>
    <xf numFmtId="3" fontId="152" fillId="0" borderId="11" xfId="0" applyNumberFormat="1" applyFont="1" applyBorder="1" applyAlignment="1">
      <alignment horizontal="center" vertical="center" wrapText="1"/>
    </xf>
    <xf numFmtId="3" fontId="72" fillId="0" borderId="12" xfId="0" applyNumberFormat="1" applyFont="1" applyBorder="1" applyAlignment="1">
      <alignment horizontal="center" vertical="center" wrapText="1"/>
    </xf>
    <xf numFmtId="3" fontId="72" fillId="0" borderId="11" xfId="0" applyNumberFormat="1" applyFont="1" applyBorder="1" applyAlignment="1">
      <alignment horizontal="center" vertical="center" wrapText="1"/>
    </xf>
    <xf numFmtId="3" fontId="224" fillId="0" borderId="12" xfId="0" applyNumberFormat="1" applyFont="1" applyBorder="1" applyAlignment="1">
      <alignment horizontal="center" vertical="center" wrapText="1"/>
    </xf>
    <xf numFmtId="3" fontId="224" fillId="0" borderId="11" xfId="0" applyNumberFormat="1" applyFont="1" applyBorder="1" applyAlignment="1">
      <alignment horizontal="center" vertical="center" wrapText="1"/>
    </xf>
    <xf numFmtId="3" fontId="186" fillId="0" borderId="12" xfId="0" applyNumberFormat="1" applyFont="1" applyBorder="1" applyAlignment="1">
      <alignment horizontal="center" vertical="center" wrapText="1"/>
    </xf>
    <xf numFmtId="3" fontId="186" fillId="0" borderId="11" xfId="0" applyNumberFormat="1" applyFont="1" applyBorder="1" applyAlignment="1">
      <alignment horizontal="center" vertical="center" wrapText="1"/>
    </xf>
    <xf numFmtId="3" fontId="185" fillId="0" borderId="12" xfId="0" applyNumberFormat="1" applyFont="1" applyBorder="1" applyAlignment="1">
      <alignment horizontal="center" vertical="center" wrapText="1"/>
    </xf>
    <xf numFmtId="3" fontId="185" fillId="0" borderId="11" xfId="0" applyNumberFormat="1" applyFont="1" applyBorder="1" applyAlignment="1">
      <alignment horizontal="center" vertical="center" wrapText="1"/>
    </xf>
    <xf numFmtId="3" fontId="232" fillId="0" borderId="12" xfId="0" applyNumberFormat="1" applyFont="1" applyBorder="1" applyAlignment="1">
      <alignment horizontal="center" vertical="center" wrapText="1"/>
    </xf>
    <xf numFmtId="3" fontId="232" fillId="0" borderId="11" xfId="0" applyNumberFormat="1" applyFont="1" applyBorder="1" applyAlignment="1">
      <alignment horizontal="center" vertical="center" wrapText="1"/>
    </xf>
    <xf numFmtId="3" fontId="220" fillId="0" borderId="12" xfId="0" applyNumberFormat="1" applyFont="1" applyBorder="1" applyAlignment="1">
      <alignment horizontal="center" vertical="center" wrapText="1"/>
    </xf>
    <xf numFmtId="3" fontId="220" fillId="0" borderId="11" xfId="0" applyNumberFormat="1" applyFont="1" applyBorder="1" applyAlignment="1">
      <alignment horizontal="center" vertical="center" wrapText="1"/>
    </xf>
    <xf numFmtId="3" fontId="144" fillId="0" borderId="13" xfId="0" applyNumberFormat="1" applyFont="1" applyBorder="1" applyAlignment="1">
      <alignment horizontal="center" vertical="center" wrapText="1"/>
    </xf>
    <xf numFmtId="3" fontId="144" fillId="0" borderId="14" xfId="0" applyNumberFormat="1" applyFont="1" applyBorder="1" applyAlignment="1">
      <alignment horizontal="center" vertical="center" wrapText="1"/>
    </xf>
    <xf numFmtId="3" fontId="144" fillId="0" borderId="15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152" fillId="0" borderId="24" xfId="0" applyNumberFormat="1" applyFont="1" applyBorder="1" applyAlignment="1">
      <alignment horizontal="center" vertical="center" wrapText="1"/>
    </xf>
    <xf numFmtId="3" fontId="72" fillId="0" borderId="24" xfId="0" applyNumberFormat="1" applyFont="1" applyBorder="1" applyAlignment="1">
      <alignment horizontal="center" vertical="center" wrapText="1"/>
    </xf>
    <xf numFmtId="3" fontId="224" fillId="0" borderId="24" xfId="0" applyNumberFormat="1" applyFont="1" applyBorder="1" applyAlignment="1">
      <alignment horizontal="center" vertical="center" wrapText="1"/>
    </xf>
    <xf numFmtId="3" fontId="186" fillId="0" borderId="24" xfId="0" applyNumberFormat="1" applyFont="1" applyBorder="1" applyAlignment="1">
      <alignment horizontal="center" vertical="center" wrapText="1"/>
    </xf>
    <xf numFmtId="0" fontId="224" fillId="0" borderId="24" xfId="0" applyFont="1" applyBorder="1" applyAlignment="1">
      <alignment/>
    </xf>
    <xf numFmtId="3" fontId="185" fillId="0" borderId="24" xfId="0" applyNumberFormat="1" applyFont="1" applyBorder="1" applyAlignment="1">
      <alignment horizontal="center" vertical="center" wrapText="1"/>
    </xf>
    <xf numFmtId="3" fontId="232" fillId="0" borderId="24" xfId="0" applyNumberFormat="1" applyFont="1" applyBorder="1" applyAlignment="1">
      <alignment horizontal="center" vertical="center" wrapText="1"/>
    </xf>
    <xf numFmtId="3" fontId="220" fillId="0" borderId="24" xfId="0" applyNumberFormat="1" applyFont="1" applyBorder="1" applyAlignment="1">
      <alignment horizontal="center" vertical="center" wrapText="1"/>
    </xf>
    <xf numFmtId="3" fontId="144" fillId="0" borderId="24" xfId="0" applyNumberFormat="1" applyFont="1" applyBorder="1" applyAlignment="1">
      <alignment horizontal="center" vertical="center" wrapText="1"/>
    </xf>
    <xf numFmtId="14" fontId="224" fillId="0" borderId="12" xfId="0" applyNumberFormat="1" applyFont="1" applyBorder="1" applyAlignment="1">
      <alignment/>
    </xf>
    <xf numFmtId="14" fontId="224" fillId="0" borderId="24" xfId="0" applyNumberFormat="1" applyFont="1" applyBorder="1" applyAlignment="1">
      <alignment/>
    </xf>
    <xf numFmtId="3" fontId="144" fillId="0" borderId="39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wrapText="1"/>
    </xf>
    <xf numFmtId="0" fontId="224" fillId="0" borderId="1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24" xfId="0" applyFill="1" applyBorder="1" applyAlignment="1">
      <alignment wrapText="1"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144" fillId="0" borderId="26" xfId="0" applyFont="1" applyBorder="1" applyAlignment="1">
      <alignment/>
    </xf>
    <xf numFmtId="0" fontId="144" fillId="0" borderId="28" xfId="0" applyFont="1" applyBorder="1" applyAlignment="1">
      <alignment/>
    </xf>
    <xf numFmtId="0" fontId="144" fillId="0" borderId="0" xfId="0" applyFont="1" applyAlignment="1">
      <alignment/>
    </xf>
    <xf numFmtId="167" fontId="11" fillId="14" borderId="40" xfId="0" applyNumberFormat="1" applyFont="1" applyFill="1" applyBorder="1" applyAlignment="1">
      <alignment horizontal="center" wrapText="1"/>
    </xf>
    <xf numFmtId="167" fontId="11" fillId="14" borderId="29" xfId="0" applyNumberFormat="1" applyFont="1" applyFill="1" applyBorder="1" applyAlignment="1">
      <alignment horizontal="center" wrapText="1"/>
    </xf>
    <xf numFmtId="167" fontId="10" fillId="34" borderId="10" xfId="0" applyNumberFormat="1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 wrapText="1"/>
    </xf>
    <xf numFmtId="0" fontId="10" fillId="34" borderId="19" xfId="0" applyFont="1" applyFill="1" applyBorder="1" applyAlignment="1">
      <alignment horizontal="center" wrapText="1"/>
    </xf>
    <xf numFmtId="0" fontId="10" fillId="34" borderId="41" xfId="0" applyFont="1" applyFill="1" applyBorder="1" applyAlignment="1">
      <alignment horizontal="center" wrapText="1"/>
    </xf>
    <xf numFmtId="0" fontId="10" fillId="34" borderId="42" xfId="0" applyFont="1" applyFill="1" applyBorder="1" applyAlignment="1">
      <alignment horizontal="center" wrapText="1"/>
    </xf>
    <xf numFmtId="167" fontId="10" fillId="34" borderId="31" xfId="0" applyNumberFormat="1" applyFont="1" applyFill="1" applyBorder="1" applyAlignment="1">
      <alignment horizontal="center" wrapText="1"/>
    </xf>
    <xf numFmtId="0" fontId="183" fillId="0" borderId="27" xfId="0" applyFont="1" applyBorder="1" applyAlignment="1">
      <alignment horizontal="center" wrapText="1"/>
    </xf>
    <xf numFmtId="0" fontId="183" fillId="0" borderId="26" xfId="0" applyFont="1" applyBorder="1" applyAlignment="1">
      <alignment horizontal="center" wrapText="1"/>
    </xf>
    <xf numFmtId="17" fontId="229" fillId="0" borderId="43" xfId="0" applyNumberFormat="1" applyFont="1" applyFill="1" applyBorder="1" applyAlignment="1">
      <alignment horizontal="center" vertical="center" wrapText="1"/>
    </xf>
    <xf numFmtId="17" fontId="229" fillId="0" borderId="44" xfId="0" applyNumberFormat="1" applyFont="1" applyFill="1" applyBorder="1" applyAlignment="1">
      <alignment horizontal="center" vertical="center" wrapText="1"/>
    </xf>
    <xf numFmtId="17" fontId="229" fillId="0" borderId="45" xfId="0" applyNumberFormat="1" applyFont="1" applyFill="1" applyBorder="1" applyAlignment="1">
      <alignment horizontal="center" vertical="center" wrapText="1"/>
    </xf>
    <xf numFmtId="17" fontId="229" fillId="0" borderId="18" xfId="0" applyNumberFormat="1" applyFont="1" applyFill="1" applyBorder="1" applyAlignment="1">
      <alignment horizontal="center" vertical="center" wrapText="1"/>
    </xf>
    <xf numFmtId="17" fontId="229" fillId="0" borderId="19" xfId="0" applyNumberFormat="1" applyFont="1" applyFill="1" applyBorder="1" applyAlignment="1">
      <alignment horizontal="center" vertical="center" wrapText="1"/>
    </xf>
    <xf numFmtId="17" fontId="229" fillId="0" borderId="41" xfId="0" applyNumberFormat="1" applyFont="1" applyFill="1" applyBorder="1" applyAlignment="1">
      <alignment horizontal="center" vertical="center" wrapText="1"/>
    </xf>
    <xf numFmtId="164" fontId="7" fillId="31" borderId="25" xfId="0" applyNumberFormat="1" applyFont="1" applyFill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прайс 2008 TORK пол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525"/>
          <c:w val="0.8435"/>
          <c:h val="0.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ДДС!$A$4</c:f>
              <c:strCache>
                <c:ptCount val="1"/>
                <c:pt idx="0">
                  <c:v>сумма поступления денег за отчетный месяц</c:v>
                </c:pt>
              </c:strCache>
            </c:strRef>
          </c:tx>
          <c:spPr>
            <a:solidFill>
              <a:srgbClr val="0070C0">
                <a:alpha val="4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cat>
            <c:strRef>
              <c:f>ДДС!$B$3:$S$3</c:f>
              <c:strCache/>
            </c:strRef>
          </c:cat>
          <c:val>
            <c:numRef>
              <c:f>ДДС!$B$4:$S$4</c:f>
              <c:numCache/>
            </c:numRef>
          </c:val>
        </c:ser>
        <c:ser>
          <c:idx val="1"/>
          <c:order val="1"/>
          <c:tx>
            <c:strRef>
              <c:f>ДДС!$A$167</c:f>
              <c:strCache>
                <c:ptCount val="1"/>
                <c:pt idx="0">
                  <c:v>Итого расход (без учета инвестиций)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ДДС!$B$3:$S$3</c:f>
              <c:strCache/>
            </c:strRef>
          </c:cat>
          <c:val>
            <c:numRef>
              <c:f>ДДС!$B$167:$S$167</c:f>
              <c:numCache/>
            </c:numRef>
          </c:val>
        </c:ser>
        <c:overlap val="100"/>
        <c:gapWidth val="137"/>
        <c:axId val="7761409"/>
        <c:axId val="23754270"/>
      </c:barChart>
      <c:catAx>
        <c:axId val="776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54270"/>
        <c:crosses val="autoZero"/>
        <c:auto val="1"/>
        <c:lblOffset val="100"/>
        <c:tickLblSkip val="1"/>
        <c:noMultiLvlLbl val="0"/>
      </c:catAx>
      <c:valAx>
        <c:axId val="23754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1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775"/>
          <c:y val="0.45975"/>
          <c:w val="0.0372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245</xdr:row>
      <xdr:rowOff>180975</xdr:rowOff>
    </xdr:from>
    <xdr:to>
      <xdr:col>9</xdr:col>
      <xdr:colOff>180975</xdr:colOff>
      <xdr:row>254</xdr:row>
      <xdr:rowOff>123825</xdr:rowOff>
    </xdr:to>
    <xdr:graphicFrame>
      <xdr:nvGraphicFramePr>
        <xdr:cNvPr id="1" name="Диаграмма 3"/>
        <xdr:cNvGraphicFramePr/>
      </xdr:nvGraphicFramePr>
      <xdr:xfrm>
        <a:off x="133350" y="26241375"/>
        <a:ext cx="953452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4;&#1090;&#1076;&#1077;&#1083;%20&#1083;&#1086;&#1075;&#1080;&#1089;&#1090;&#1080;&#1082;&#1080;\&#1055;&#1051;&#1040;&#1053;%20&#1054;&#1058;&#1043;&#1056;&#1059;&#1047;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Слежение"/>
      <sheetName val="План работы"/>
      <sheetName val="Поставщики"/>
      <sheetName val="Отгрузка в РФ"/>
      <sheetName val="Справ.Данные "/>
      <sheetName val="Поставщики "/>
      <sheetName val="2009"/>
      <sheetName val="2009A"/>
      <sheetName val="План-Факт"/>
    </sheetNames>
    <sheetDataSet>
      <sheetData sheetId="6">
        <row r="8">
          <cell r="C8" t="str">
            <v>ВИННИ</v>
          </cell>
        </row>
        <row r="9">
          <cell r="C9" t="str">
            <v>НУТРИЛАК</v>
          </cell>
        </row>
        <row r="10">
          <cell r="C10" t="str">
            <v>БЛ</v>
          </cell>
        </row>
        <row r="11">
          <cell r="C11" t="str">
            <v>HEINZ - Гео</v>
          </cell>
        </row>
        <row r="12">
          <cell r="C12" t="str">
            <v>HEINZ - Euro</v>
          </cell>
        </row>
        <row r="13">
          <cell r="C13" t="str">
            <v>FRISO</v>
          </cell>
        </row>
        <row r="14">
          <cell r="C14" t="str">
            <v>DROGA KOLINSKA</v>
          </cell>
        </row>
        <row r="15">
          <cell r="C15" t="str">
            <v>УМНИЦА</v>
          </cell>
        </row>
        <row r="16">
          <cell r="C16" t="str">
            <v> </v>
          </cell>
        </row>
        <row r="17">
          <cell r="C17" t="str">
            <v>ARTSANA</v>
          </cell>
        </row>
        <row r="18">
          <cell r="C18" t="str">
            <v>A.W.E.CO</v>
          </cell>
        </row>
        <row r="19">
          <cell r="C19" t="str">
            <v>CABEN HG</v>
          </cell>
        </row>
        <row r="20">
          <cell r="C20" t="str">
            <v>CABEN (одежда)</v>
          </cell>
        </row>
        <row r="21">
          <cell r="C21" t="str">
            <v>A.W.E.CO Grow-n-Up</v>
          </cell>
        </row>
        <row r="22">
          <cell r="C22" t="str">
            <v>A.W.E.CO Mondo</v>
          </cell>
        </row>
        <row r="23">
          <cell r="C23" t="str">
            <v>A.W.E.CO Quercetti</v>
          </cell>
        </row>
        <row r="24">
          <cell r="C24" t="str">
            <v>A.W.E.CO Wild Planet</v>
          </cell>
        </row>
        <row r="25">
          <cell r="C25" t="str">
            <v>ANDRONI</v>
          </cell>
        </row>
        <row r="26">
          <cell r="C26" t="str">
            <v>AVENT</v>
          </cell>
        </row>
        <row r="27">
          <cell r="C27" t="str">
            <v>BARBIE</v>
          </cell>
        </row>
        <row r="28">
          <cell r="C28" t="str">
            <v>BEBY WELT</v>
          </cell>
        </row>
        <row r="29">
          <cell r="C29" t="str">
            <v>BAYER DOLLS</v>
          </cell>
        </row>
        <row r="30">
          <cell r="C30" t="str">
            <v>BONTEMPI</v>
          </cell>
        </row>
        <row r="31">
          <cell r="C31" t="str">
            <v>BRUDER</v>
          </cell>
        </row>
        <row r="32">
          <cell r="C32" t="str">
            <v>BUBCHEN</v>
          </cell>
        </row>
        <row r="33">
          <cell r="C33" t="str">
            <v>BURAGO</v>
          </cell>
        </row>
        <row r="34">
          <cell r="C34" t="str">
            <v>CHICCO ARTSANA</v>
          </cell>
        </row>
        <row r="35">
          <cell r="C35" t="str">
            <v>DOMUS KIT</v>
          </cell>
        </row>
        <row r="36">
          <cell r="C36" t="str">
            <v>Edu Toys</v>
          </cell>
        </row>
        <row r="37">
          <cell r="C37" t="str">
            <v>ERBESI</v>
          </cell>
        </row>
        <row r="38">
          <cell r="C38" t="str">
            <v>HEIMESS Gollnest</v>
          </cell>
        </row>
        <row r="39">
          <cell r="C39" t="str">
            <v>INJUSA</v>
          </cell>
        </row>
        <row r="40">
          <cell r="C40" t="str">
            <v>INTERKOBO</v>
          </cell>
        </row>
        <row r="41">
          <cell r="C41" t="str">
            <v>INTEX</v>
          </cell>
        </row>
        <row r="42">
          <cell r="C42" t="str">
            <v>IPV</v>
          </cell>
        </row>
        <row r="43">
          <cell r="C43" t="str">
            <v>KLEIN</v>
          </cell>
        </row>
        <row r="44">
          <cell r="C44" t="str">
            <v>KLEIN</v>
          </cell>
        </row>
        <row r="45">
          <cell r="C45" t="str">
            <v>MEHANO</v>
          </cell>
        </row>
        <row r="46">
          <cell r="C46" t="str">
            <v>NAVYSTAR</v>
          </cell>
        </row>
        <row r="47">
          <cell r="C47" t="str">
            <v>NEW BRIGHT</v>
          </cell>
        </row>
        <row r="49">
          <cell r="C49" t="str">
            <v>NIKKO</v>
          </cell>
        </row>
        <row r="50">
          <cell r="C50" t="str">
            <v>PAPO</v>
          </cell>
        </row>
        <row r="51">
          <cell r="C51" t="str">
            <v>PHILIPSAVENT</v>
          </cell>
        </row>
        <row r="52">
          <cell r="C52" t="str">
            <v>PLASTIMIR</v>
          </cell>
        </row>
        <row r="53">
          <cell r="C53" t="str">
            <v>PRIMI SOGNI</v>
          </cell>
        </row>
        <row r="54">
          <cell r="C54" t="str">
            <v>ROCHINGHAM</v>
          </cell>
        </row>
        <row r="55">
          <cell r="C55" t="str">
            <v>RU TOYS</v>
          </cell>
        </row>
        <row r="56">
          <cell r="C56" t="str">
            <v>SABLON (Wowwee)</v>
          </cell>
        </row>
        <row r="57">
          <cell r="C57" t="str">
            <v>SES CREATIVE</v>
          </cell>
        </row>
        <row r="58">
          <cell r="C58" t="str">
            <v>SCHLEICH</v>
          </cell>
        </row>
        <row r="59">
          <cell r="C59" t="str">
            <v>SMART TRIKE</v>
          </cell>
        </row>
        <row r="60">
          <cell r="C60" t="str">
            <v>SIMBAT TOYS</v>
          </cell>
        </row>
        <row r="61">
          <cell r="C61" t="str">
            <v>TEHNITOYS</v>
          </cell>
        </row>
        <row r="62">
          <cell r="C62" t="str">
            <v>TOYDICO</v>
          </cell>
        </row>
        <row r="63">
          <cell r="C63" t="str">
            <v>TOYS EAST</v>
          </cell>
        </row>
        <row r="64">
          <cell r="C64" t="str">
            <v>VILLA</v>
          </cell>
        </row>
        <row r="65">
          <cell r="C65" t="str">
            <v>ЗВЕЗДА</v>
          </cell>
        </row>
        <row r="66">
          <cell r="C66" t="str">
            <v>Mattel</v>
          </cell>
        </row>
        <row r="67">
          <cell r="C67" t="str">
            <v>РУ ТОЙЗ</v>
          </cell>
        </row>
        <row r="68">
          <cell r="C68" t="str">
            <v>СИМБАТ ТОЙЗ</v>
          </cell>
        </row>
        <row r="69">
          <cell r="C69" t="str">
            <v>ЭГМОНТ</v>
          </cell>
        </row>
        <row r="70">
          <cell r="C70" t="str">
            <v>TAKO</v>
          </cell>
        </row>
        <row r="71">
          <cell r="C71" t="str">
            <v>PJATNIK</v>
          </cell>
        </row>
        <row r="72">
          <cell r="C72" t="str">
            <v>WWW International</v>
          </cell>
        </row>
        <row r="73">
          <cell r="C73" t="str">
            <v>Karlson</v>
          </cell>
        </row>
        <row r="74">
          <cell r="C74" t="str">
            <v>VENTURELLI</v>
          </cell>
        </row>
        <row r="75">
          <cell r="C75" t="str">
            <v>FARO</v>
          </cell>
        </row>
        <row r="76">
          <cell r="C76" t="str">
            <v>Bayer</v>
          </cell>
        </row>
        <row r="77">
          <cell r="C77" t="str">
            <v>Maltex</v>
          </cell>
        </row>
        <row r="78">
          <cell r="C78" t="str">
            <v>COBI</v>
          </cell>
        </row>
        <row r="79">
          <cell r="C79" t="str">
            <v>MATTEL</v>
          </cell>
        </row>
        <row r="80">
          <cell r="C80" t="str">
            <v>NICI</v>
          </cell>
        </row>
        <row r="81">
          <cell r="C81" t="str">
            <v>Wild Planet</v>
          </cell>
        </row>
        <row r="83">
          <cell r="C8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oe.kz" TargetMode="External" /><Relationship Id="rId2" Type="http://schemas.openxmlformats.org/officeDocument/2006/relationships/hyperlink" Target="mailto:dussmann_kz99@hotmail.com" TargetMode="External" /><Relationship Id="rId3" Type="http://schemas.openxmlformats.org/officeDocument/2006/relationships/hyperlink" Target="mailto:zakaz@kliaksa.kz" TargetMode="External" /><Relationship Id="rId4" Type="http://schemas.openxmlformats.org/officeDocument/2006/relationships/hyperlink" Target="mailto:zi-zi.atakent@mail.ru" TargetMode="External" /><Relationship Id="rId5" Type="http://schemas.openxmlformats.org/officeDocument/2006/relationships/hyperlink" Target="mailto:anita_fauol@mail.ru" TargetMode="External" /><Relationship Id="rId6" Type="http://schemas.openxmlformats.org/officeDocument/2006/relationships/hyperlink" Target="mailto:ladyjan@mail.ru" TargetMode="External" /><Relationship Id="rId7" Type="http://schemas.openxmlformats.org/officeDocument/2006/relationships/hyperlink" Target="mailto:m-kometa@mail.ru" TargetMode="External" /><Relationship Id="rId8" Type="http://schemas.openxmlformats.org/officeDocument/2006/relationships/hyperlink" Target="mailto:zhanar790@mail.ru" TargetMode="External" /><Relationship Id="rId9" Type="http://schemas.openxmlformats.org/officeDocument/2006/relationships/hyperlink" Target="mailto:VVSmirnov@almsklad.stopharm.kz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7" sqref="D17"/>
    </sheetView>
  </sheetViews>
  <sheetFormatPr defaultColWidth="9.140625" defaultRowHeight="15" outlineLevelCol="1"/>
  <cols>
    <col min="1" max="1" width="10.140625" style="18" bestFit="1" customWidth="1"/>
    <col min="2" max="2" width="5.140625" style="18" customWidth="1"/>
    <col min="3" max="3" width="27.8515625" style="2" customWidth="1"/>
    <col min="4" max="4" width="39.140625" style="5" customWidth="1"/>
    <col min="5" max="5" width="10.7109375" style="33" bestFit="1" customWidth="1"/>
    <col min="6" max="6" width="5.140625" style="18" customWidth="1"/>
    <col min="7" max="7" width="7.57421875" style="8" customWidth="1"/>
    <col min="8" max="8" width="10.7109375" style="19" bestFit="1" customWidth="1"/>
    <col min="9" max="9" width="8.421875" style="31" customWidth="1"/>
    <col min="10" max="10" width="7.140625" style="31" customWidth="1"/>
    <col min="11" max="11" width="10.421875" style="18" customWidth="1"/>
    <col min="12" max="12" width="9.140625" style="8" customWidth="1"/>
    <col min="13" max="13" width="11.57421875" style="112" customWidth="1"/>
    <col min="14" max="14" width="9.00390625" style="112" customWidth="1"/>
    <col min="15" max="15" width="7.00390625" style="18" customWidth="1"/>
    <col min="16" max="16" width="9.140625" style="18" customWidth="1"/>
    <col min="17" max="17" width="7.7109375" style="140" customWidth="1"/>
    <col min="18" max="19" width="9.140625" style="18" customWidth="1" outlineLevel="1"/>
    <col min="20" max="21" width="9.140625" style="18" customWidth="1"/>
    <col min="22" max="22" width="11.00390625" style="18" customWidth="1"/>
    <col min="23" max="23" width="12.421875" style="18" customWidth="1"/>
    <col min="24" max="16384" width="9.140625" style="18" customWidth="1"/>
  </cols>
  <sheetData>
    <row r="1" spans="1:23" s="9" customFormat="1" ht="51">
      <c r="A1" s="90" t="s">
        <v>61</v>
      </c>
      <c r="B1" s="91"/>
      <c r="C1" s="90" t="s">
        <v>16</v>
      </c>
      <c r="D1" s="92" t="s">
        <v>17</v>
      </c>
      <c r="E1" s="90" t="s">
        <v>48</v>
      </c>
      <c r="F1" s="90" t="s">
        <v>18</v>
      </c>
      <c r="G1" s="90" t="s">
        <v>19</v>
      </c>
      <c r="H1" s="93" t="s">
        <v>20</v>
      </c>
      <c r="I1" s="93" t="s">
        <v>21</v>
      </c>
      <c r="J1" s="93" t="s">
        <v>22</v>
      </c>
      <c r="K1" s="90" t="s">
        <v>23</v>
      </c>
      <c r="L1" s="90" t="s">
        <v>73</v>
      </c>
      <c r="M1" s="106" t="s">
        <v>24</v>
      </c>
      <c r="N1" s="106" t="s">
        <v>49</v>
      </c>
      <c r="O1" s="90" t="s">
        <v>58</v>
      </c>
      <c r="P1" s="90" t="s">
        <v>55</v>
      </c>
      <c r="Q1" s="136" t="s">
        <v>68</v>
      </c>
      <c r="R1" s="90" t="s">
        <v>56</v>
      </c>
      <c r="S1" s="90" t="s">
        <v>57</v>
      </c>
      <c r="T1" s="90" t="s">
        <v>59</v>
      </c>
      <c r="U1" s="90" t="s">
        <v>60</v>
      </c>
      <c r="V1" s="90" t="s">
        <v>129</v>
      </c>
      <c r="W1" s="9" t="s">
        <v>81</v>
      </c>
    </row>
    <row r="2" spans="1:22" ht="27" customHeight="1">
      <c r="A2" s="80">
        <v>40823</v>
      </c>
      <c r="B2" s="7">
        <v>1</v>
      </c>
      <c r="C2" s="1" t="s">
        <v>46</v>
      </c>
      <c r="D2" s="4" t="s">
        <v>47</v>
      </c>
      <c r="E2" s="35">
        <v>275</v>
      </c>
      <c r="F2" s="7">
        <v>180</v>
      </c>
      <c r="G2" s="32">
        <v>499</v>
      </c>
      <c r="H2" s="20">
        <f aca="true" t="shared" si="0" ref="H2:H13">G2*F2</f>
        <v>89820</v>
      </c>
      <c r="I2" s="21"/>
      <c r="J2" s="21"/>
      <c r="K2" s="7">
        <v>89820</v>
      </c>
      <c r="L2" s="103">
        <f>SUM(I2:K2)</f>
        <v>89820</v>
      </c>
      <c r="M2" s="107" t="s">
        <v>82</v>
      </c>
      <c r="N2" s="108" t="s">
        <v>50</v>
      </c>
      <c r="O2" s="23">
        <f aca="true" t="shared" si="1" ref="O2:O13">F2*E2</f>
        <v>49500</v>
      </c>
      <c r="P2" s="22">
        <f aca="true" t="shared" si="2" ref="P2:P13">H2-O2</f>
        <v>40320</v>
      </c>
      <c r="Q2" s="137">
        <f aca="true" t="shared" si="3" ref="Q2:Q13">P2/H2</f>
        <v>0.44889779559118237</v>
      </c>
      <c r="R2" s="23">
        <f aca="true" t="shared" si="4" ref="R2:R13">(F2*E2)/112*12</f>
        <v>5303.571428571428</v>
      </c>
      <c r="S2" s="23">
        <f aca="true" t="shared" si="5" ref="S2:S13">H2/112*12</f>
        <v>9623.571428571428</v>
      </c>
      <c r="T2" s="18">
        <f aca="true" t="shared" si="6" ref="T2:T13">IF(SUM(J2:K2)&gt;0,(S2-R2),0)</f>
        <v>4319.999999999999</v>
      </c>
      <c r="U2" s="18">
        <f aca="true" t="shared" si="7" ref="U2:U13">IF(SUM(J2:K2)&gt;0,((P2-S2)*20/100),0)</f>
        <v>6139.285714285715</v>
      </c>
      <c r="V2" s="34">
        <f>H2-O2-T2</f>
        <v>36000</v>
      </c>
    </row>
    <row r="3" spans="1:22" ht="25.5">
      <c r="A3" s="80">
        <v>40823</v>
      </c>
      <c r="B3" s="7">
        <f aca="true" t="shared" si="8" ref="B3:B11">IF(C3=C2,B2,B2+1)</f>
        <v>2</v>
      </c>
      <c r="C3" s="1" t="s">
        <v>51</v>
      </c>
      <c r="D3" s="4" t="s">
        <v>52</v>
      </c>
      <c r="E3" s="35">
        <v>170</v>
      </c>
      <c r="F3" s="7">
        <v>60</v>
      </c>
      <c r="G3" s="32">
        <v>240</v>
      </c>
      <c r="H3" s="20">
        <f t="shared" si="0"/>
        <v>14400</v>
      </c>
      <c r="I3" s="21"/>
      <c r="J3" s="21"/>
      <c r="K3" s="7">
        <v>14400</v>
      </c>
      <c r="L3" s="103">
        <f>SUM(I3:K3)</f>
        <v>14400</v>
      </c>
      <c r="M3" s="107" t="s">
        <v>82</v>
      </c>
      <c r="N3" s="108" t="s">
        <v>54</v>
      </c>
      <c r="O3" s="23">
        <f t="shared" si="1"/>
        <v>10200</v>
      </c>
      <c r="P3" s="22">
        <f t="shared" si="2"/>
        <v>4200</v>
      </c>
      <c r="Q3" s="137">
        <f t="shared" si="3"/>
        <v>0.2916666666666667</v>
      </c>
      <c r="R3" s="23">
        <f t="shared" si="4"/>
        <v>1092.857142857143</v>
      </c>
      <c r="S3" s="23">
        <f t="shared" si="5"/>
        <v>1542.8571428571431</v>
      </c>
      <c r="T3" s="18">
        <f t="shared" si="6"/>
        <v>450.0000000000002</v>
      </c>
      <c r="U3" s="18">
        <f t="shared" si="7"/>
        <v>531.4285714285713</v>
      </c>
      <c r="V3" s="34">
        <f aca="true" t="shared" si="9" ref="V3:V16">H3-O3-T3</f>
        <v>3750</v>
      </c>
    </row>
    <row r="4" spans="1:22" ht="25.5">
      <c r="A4" s="80">
        <v>40823</v>
      </c>
      <c r="B4" s="7">
        <f t="shared" si="8"/>
        <v>2</v>
      </c>
      <c r="C4" s="1" t="s">
        <v>51</v>
      </c>
      <c r="D4" s="3" t="s">
        <v>53</v>
      </c>
      <c r="E4" s="35">
        <v>750</v>
      </c>
      <c r="F4" s="7">
        <v>102</v>
      </c>
      <c r="G4" s="32">
        <v>1050</v>
      </c>
      <c r="H4" s="20">
        <f t="shared" si="0"/>
        <v>107100</v>
      </c>
      <c r="I4" s="21"/>
      <c r="J4" s="21"/>
      <c r="K4" s="6">
        <v>107100</v>
      </c>
      <c r="L4" s="103">
        <f aca="true" t="shared" si="10" ref="L4:L17">SUM(I4:K4)</f>
        <v>107100</v>
      </c>
      <c r="M4" s="107" t="s">
        <v>82</v>
      </c>
      <c r="N4" s="108" t="s">
        <v>54</v>
      </c>
      <c r="O4" s="23">
        <f t="shared" si="1"/>
        <v>76500</v>
      </c>
      <c r="P4" s="22">
        <f t="shared" si="2"/>
        <v>30600</v>
      </c>
      <c r="Q4" s="137">
        <f t="shared" si="3"/>
        <v>0.2857142857142857</v>
      </c>
      <c r="R4" s="23">
        <f t="shared" si="4"/>
        <v>8196.428571428572</v>
      </c>
      <c r="S4" s="23">
        <f t="shared" si="5"/>
        <v>11475</v>
      </c>
      <c r="T4" s="18">
        <f t="shared" si="6"/>
        <v>3278.5714285714275</v>
      </c>
      <c r="U4" s="18">
        <f t="shared" si="7"/>
        <v>3825</v>
      </c>
      <c r="V4" s="34">
        <f t="shared" si="9"/>
        <v>27321.428571428572</v>
      </c>
    </row>
    <row r="5" spans="2:22" ht="25.5">
      <c r="B5" s="7" t="e">
        <f>IF(C5=#REF!,#REF!,#REF!+1)</f>
        <v>#REF!</v>
      </c>
      <c r="C5" s="1" t="s">
        <v>51</v>
      </c>
      <c r="D5" s="3" t="s">
        <v>53</v>
      </c>
      <c r="E5" s="35">
        <v>750</v>
      </c>
      <c r="F5" s="7">
        <v>78</v>
      </c>
      <c r="G5" s="32">
        <v>1050</v>
      </c>
      <c r="H5" s="20">
        <f>G5*F5</f>
        <v>81900</v>
      </c>
      <c r="I5" s="21"/>
      <c r="J5" s="21"/>
      <c r="K5" s="6">
        <v>81900</v>
      </c>
      <c r="L5" s="103">
        <f>SUM(I5:K5)</f>
        <v>81900</v>
      </c>
      <c r="M5" s="107" t="s">
        <v>82</v>
      </c>
      <c r="N5" s="108" t="s">
        <v>54</v>
      </c>
      <c r="O5" s="23">
        <f>F5*E5</f>
        <v>58500</v>
      </c>
      <c r="P5" s="22">
        <f>H5-O5</f>
        <v>23400</v>
      </c>
      <c r="Q5" s="137">
        <f>P5/H5</f>
        <v>0.2857142857142857</v>
      </c>
      <c r="R5" s="23">
        <f>(F5*E5)/112*12</f>
        <v>6267.857142857143</v>
      </c>
      <c r="S5" s="23">
        <f>H5/112*12</f>
        <v>8775</v>
      </c>
      <c r="T5" s="18">
        <f>IF(SUM(J5:K5)&gt;0,(S5-R5),0)</f>
        <v>2507.142857142857</v>
      </c>
      <c r="U5" s="18">
        <f>IF(SUM(J5:K5)&gt;0,((P5-T5)*20/100),0)</f>
        <v>4178.571428571429</v>
      </c>
      <c r="V5" s="34">
        <f>H5-O5-T5</f>
        <v>20892.857142857145</v>
      </c>
    </row>
    <row r="6" spans="1:22" s="25" customFormat="1" ht="12.75">
      <c r="A6" s="80">
        <v>40827</v>
      </c>
      <c r="B6" s="7">
        <f>IF(C6=C4,B4,B4+1)</f>
        <v>3</v>
      </c>
      <c r="C6" s="1" t="s">
        <v>66</v>
      </c>
      <c r="D6" s="3">
        <v>290067</v>
      </c>
      <c r="E6" s="35">
        <v>1347</v>
      </c>
      <c r="F6" s="7">
        <v>16</v>
      </c>
      <c r="G6" s="32">
        <v>1603</v>
      </c>
      <c r="H6" s="20">
        <f t="shared" si="0"/>
        <v>25648</v>
      </c>
      <c r="I6" s="181">
        <v>25648</v>
      </c>
      <c r="J6" s="21"/>
      <c r="K6" s="7"/>
      <c r="L6" s="103">
        <f t="shared" si="10"/>
        <v>25648</v>
      </c>
      <c r="M6" s="107" t="s">
        <v>82</v>
      </c>
      <c r="N6" s="108" t="s">
        <v>64</v>
      </c>
      <c r="O6" s="23">
        <f t="shared" si="1"/>
        <v>21552</v>
      </c>
      <c r="P6" s="22">
        <f t="shared" si="2"/>
        <v>4096</v>
      </c>
      <c r="Q6" s="137">
        <f t="shared" si="3"/>
        <v>0.15970056144728634</v>
      </c>
      <c r="R6" s="23">
        <f t="shared" si="4"/>
        <v>2309.142857142857</v>
      </c>
      <c r="S6" s="23">
        <f t="shared" si="5"/>
        <v>2748</v>
      </c>
      <c r="T6" s="18">
        <f t="shared" si="6"/>
        <v>0</v>
      </c>
      <c r="U6" s="18">
        <f t="shared" si="7"/>
        <v>0</v>
      </c>
      <c r="V6" s="34">
        <f t="shared" si="9"/>
        <v>4096</v>
      </c>
    </row>
    <row r="7" spans="1:22" s="25" customFormat="1" ht="12.75">
      <c r="A7" s="80">
        <v>40827</v>
      </c>
      <c r="B7" s="7">
        <f t="shared" si="8"/>
        <v>4</v>
      </c>
      <c r="C7" s="100" t="s">
        <v>67</v>
      </c>
      <c r="D7" s="3">
        <v>290067</v>
      </c>
      <c r="E7" s="35">
        <v>1347</v>
      </c>
      <c r="F7" s="7">
        <v>6</v>
      </c>
      <c r="G7" s="32">
        <v>1603</v>
      </c>
      <c r="H7" s="20">
        <f t="shared" si="0"/>
        <v>9618</v>
      </c>
      <c r="I7" s="181">
        <v>9618</v>
      </c>
      <c r="J7" s="21"/>
      <c r="K7" s="7"/>
      <c r="L7" s="103">
        <f t="shared" si="10"/>
        <v>9618</v>
      </c>
      <c r="M7" s="107" t="s">
        <v>94</v>
      </c>
      <c r="N7" s="108" t="s">
        <v>64</v>
      </c>
      <c r="O7" s="23">
        <f t="shared" si="1"/>
        <v>8082</v>
      </c>
      <c r="P7" s="22">
        <f t="shared" si="2"/>
        <v>1536</v>
      </c>
      <c r="Q7" s="137">
        <f t="shared" si="3"/>
        <v>0.15970056144728634</v>
      </c>
      <c r="R7" s="23">
        <f t="shared" si="4"/>
        <v>865.9285714285716</v>
      </c>
      <c r="S7" s="23">
        <f t="shared" si="5"/>
        <v>1030.5</v>
      </c>
      <c r="T7" s="18">
        <f t="shared" si="6"/>
        <v>0</v>
      </c>
      <c r="U7" s="18">
        <f t="shared" si="7"/>
        <v>0</v>
      </c>
      <c r="V7" s="34">
        <f t="shared" si="9"/>
        <v>1536</v>
      </c>
    </row>
    <row r="8" spans="1:22" ht="12.75">
      <c r="A8" s="80">
        <v>40828</v>
      </c>
      <c r="B8" s="7">
        <f t="shared" si="8"/>
        <v>4</v>
      </c>
      <c r="C8" s="100" t="s">
        <v>67</v>
      </c>
      <c r="D8" s="3">
        <v>114276</v>
      </c>
      <c r="E8" s="35">
        <v>266</v>
      </c>
      <c r="F8" s="7">
        <v>30</v>
      </c>
      <c r="G8" s="32">
        <v>317</v>
      </c>
      <c r="H8" s="20">
        <f t="shared" si="0"/>
        <v>9510</v>
      </c>
      <c r="I8" s="181">
        <v>9510</v>
      </c>
      <c r="J8" s="21"/>
      <c r="K8" s="7"/>
      <c r="L8" s="103">
        <f t="shared" si="10"/>
        <v>9510</v>
      </c>
      <c r="M8" s="107" t="s">
        <v>94</v>
      </c>
      <c r="N8" s="108" t="s">
        <v>64</v>
      </c>
      <c r="O8" s="23">
        <f t="shared" si="1"/>
        <v>7980</v>
      </c>
      <c r="P8" s="22">
        <f t="shared" si="2"/>
        <v>1530</v>
      </c>
      <c r="Q8" s="137">
        <f t="shared" si="3"/>
        <v>0.1608832807570978</v>
      </c>
      <c r="R8" s="23">
        <f t="shared" si="4"/>
        <v>855</v>
      </c>
      <c r="S8" s="23">
        <f t="shared" si="5"/>
        <v>1018.9285714285716</v>
      </c>
      <c r="T8" s="18">
        <f t="shared" si="6"/>
        <v>0</v>
      </c>
      <c r="U8" s="18">
        <f t="shared" si="7"/>
        <v>0</v>
      </c>
      <c r="V8" s="34">
        <f t="shared" si="9"/>
        <v>1530</v>
      </c>
    </row>
    <row r="9" spans="1:22" ht="12.75">
      <c r="A9" s="80">
        <v>40828</v>
      </c>
      <c r="B9" s="7">
        <f t="shared" si="8"/>
        <v>5</v>
      </c>
      <c r="C9" s="1" t="s">
        <v>69</v>
      </c>
      <c r="D9" s="3">
        <v>290067</v>
      </c>
      <c r="E9" s="35">
        <v>1347</v>
      </c>
      <c r="F9" s="7">
        <v>48</v>
      </c>
      <c r="G9" s="32">
        <v>1603</v>
      </c>
      <c r="H9" s="20">
        <f t="shared" si="0"/>
        <v>76944</v>
      </c>
      <c r="I9" s="21"/>
      <c r="J9" s="21"/>
      <c r="K9" s="6">
        <v>76944</v>
      </c>
      <c r="L9" s="103">
        <f t="shared" si="10"/>
        <v>76944</v>
      </c>
      <c r="M9" s="107" t="s">
        <v>84</v>
      </c>
      <c r="N9" s="108"/>
      <c r="O9" s="23">
        <f t="shared" si="1"/>
        <v>64656</v>
      </c>
      <c r="P9" s="22">
        <f t="shared" si="2"/>
        <v>12288</v>
      </c>
      <c r="Q9" s="137">
        <f t="shared" si="3"/>
        <v>0.15970056144728634</v>
      </c>
      <c r="R9" s="23">
        <f t="shared" si="4"/>
        <v>6927.4285714285725</v>
      </c>
      <c r="S9" s="23">
        <f t="shared" si="5"/>
        <v>8244</v>
      </c>
      <c r="T9" s="18">
        <f t="shared" si="6"/>
        <v>1316.5714285714275</v>
      </c>
      <c r="U9" s="18">
        <f t="shared" si="7"/>
        <v>808.8</v>
      </c>
      <c r="V9" s="34">
        <f t="shared" si="9"/>
        <v>10971.428571428572</v>
      </c>
    </row>
    <row r="10" spans="1:22" ht="12" customHeight="1">
      <c r="A10" s="80">
        <v>40830</v>
      </c>
      <c r="B10" s="7">
        <f t="shared" si="8"/>
        <v>6</v>
      </c>
      <c r="C10" s="1" t="s">
        <v>70</v>
      </c>
      <c r="D10" s="3">
        <v>114276</v>
      </c>
      <c r="E10" s="35">
        <v>266</v>
      </c>
      <c r="F10" s="7">
        <v>30</v>
      </c>
      <c r="G10" s="32">
        <v>317</v>
      </c>
      <c r="H10" s="20">
        <f t="shared" si="0"/>
        <v>9510</v>
      </c>
      <c r="I10" s="181">
        <v>9510</v>
      </c>
      <c r="J10" s="21"/>
      <c r="K10" s="6"/>
      <c r="L10" s="103">
        <f t="shared" si="10"/>
        <v>9510</v>
      </c>
      <c r="M10" s="107" t="s">
        <v>83</v>
      </c>
      <c r="N10" s="108"/>
      <c r="O10" s="23">
        <f t="shared" si="1"/>
        <v>7980</v>
      </c>
      <c r="P10" s="22">
        <f t="shared" si="2"/>
        <v>1530</v>
      </c>
      <c r="Q10" s="137">
        <f t="shared" si="3"/>
        <v>0.1608832807570978</v>
      </c>
      <c r="R10" s="23">
        <f t="shared" si="4"/>
        <v>855</v>
      </c>
      <c r="S10" s="23">
        <f t="shared" si="5"/>
        <v>1018.9285714285716</v>
      </c>
      <c r="T10" s="18">
        <f t="shared" si="6"/>
        <v>0</v>
      </c>
      <c r="U10" s="18">
        <f t="shared" si="7"/>
        <v>0</v>
      </c>
      <c r="V10" s="34">
        <f t="shared" si="9"/>
        <v>1530</v>
      </c>
    </row>
    <row r="11" spans="2:22" ht="12.75">
      <c r="B11" s="7">
        <f t="shared" si="8"/>
        <v>7</v>
      </c>
      <c r="C11" s="1" t="s">
        <v>71</v>
      </c>
      <c r="D11" s="4" t="s">
        <v>72</v>
      </c>
      <c r="E11" s="35">
        <v>200</v>
      </c>
      <c r="F11" s="7">
        <v>1056</v>
      </c>
      <c r="G11" s="32">
        <v>240</v>
      </c>
      <c r="H11" s="20">
        <f t="shared" si="0"/>
        <v>253440</v>
      </c>
      <c r="I11" s="21"/>
      <c r="J11" s="21"/>
      <c r="K11" s="6">
        <v>253440</v>
      </c>
      <c r="L11" s="103">
        <f t="shared" si="10"/>
        <v>253440</v>
      </c>
      <c r="M11" s="107" t="s">
        <v>82</v>
      </c>
      <c r="N11" s="108" t="s">
        <v>50</v>
      </c>
      <c r="O11" s="23">
        <f t="shared" si="1"/>
        <v>211200</v>
      </c>
      <c r="P11" s="22">
        <f t="shared" si="2"/>
        <v>42240</v>
      </c>
      <c r="Q11" s="137">
        <f t="shared" si="3"/>
        <v>0.16666666666666666</v>
      </c>
      <c r="R11" s="23">
        <f t="shared" si="4"/>
        <v>22628.571428571428</v>
      </c>
      <c r="S11" s="23">
        <f t="shared" si="5"/>
        <v>27154.28571428571</v>
      </c>
      <c r="T11" s="18">
        <f t="shared" si="6"/>
        <v>4525.714285714283</v>
      </c>
      <c r="U11" s="18">
        <f t="shared" si="7"/>
        <v>3017.142857142858</v>
      </c>
      <c r="V11" s="34">
        <f t="shared" si="9"/>
        <v>37714.28571428572</v>
      </c>
    </row>
    <row r="12" spans="1:22" ht="12.75">
      <c r="A12" s="80">
        <v>40840</v>
      </c>
      <c r="B12" s="7" t="e">
        <f>IF(C12='10.2001'!C5,'10.2001'!B5,'10.2001'!B5+1)</f>
        <v>#REF!</v>
      </c>
      <c r="C12" s="1" t="s">
        <v>75</v>
      </c>
      <c r="D12" s="3">
        <v>290067</v>
      </c>
      <c r="E12" s="35">
        <v>1347</v>
      </c>
      <c r="F12" s="7">
        <v>6</v>
      </c>
      <c r="G12" s="32">
        <v>1603</v>
      </c>
      <c r="H12" s="20">
        <f t="shared" si="0"/>
        <v>9618</v>
      </c>
      <c r="I12" s="181">
        <v>9618</v>
      </c>
      <c r="J12" s="21"/>
      <c r="K12" s="6"/>
      <c r="L12" s="103">
        <f t="shared" si="10"/>
        <v>9618</v>
      </c>
      <c r="M12" s="107" t="s">
        <v>83</v>
      </c>
      <c r="N12" s="108"/>
      <c r="O12" s="23">
        <f t="shared" si="1"/>
        <v>8082</v>
      </c>
      <c r="P12" s="22">
        <f t="shared" si="2"/>
        <v>1536</v>
      </c>
      <c r="Q12" s="137">
        <f t="shared" si="3"/>
        <v>0.15970056144728634</v>
      </c>
      <c r="R12" s="23">
        <f t="shared" si="4"/>
        <v>865.9285714285716</v>
      </c>
      <c r="S12" s="23">
        <f t="shared" si="5"/>
        <v>1030.5</v>
      </c>
      <c r="T12" s="18">
        <f t="shared" si="6"/>
        <v>0</v>
      </c>
      <c r="U12" s="18">
        <f t="shared" si="7"/>
        <v>0</v>
      </c>
      <c r="V12" s="34">
        <f t="shared" si="9"/>
        <v>1536</v>
      </c>
    </row>
    <row r="13" spans="1:22" ht="12.75">
      <c r="A13" s="80">
        <v>40840</v>
      </c>
      <c r="B13" s="7" t="e">
        <f>IF(C13=C12,B12,B12+1)</f>
        <v>#REF!</v>
      </c>
      <c r="C13" s="1" t="s">
        <v>69</v>
      </c>
      <c r="D13" s="3">
        <v>290067</v>
      </c>
      <c r="E13" s="35">
        <v>1347</v>
      </c>
      <c r="F13" s="7">
        <v>24</v>
      </c>
      <c r="G13" s="32">
        <v>1603</v>
      </c>
      <c r="H13" s="20">
        <f t="shared" si="0"/>
        <v>38472</v>
      </c>
      <c r="I13" s="21"/>
      <c r="J13" s="21"/>
      <c r="K13" s="6">
        <v>38472</v>
      </c>
      <c r="L13" s="103">
        <f t="shared" si="10"/>
        <v>38472</v>
      </c>
      <c r="M13" s="107" t="s">
        <v>84</v>
      </c>
      <c r="N13" s="108"/>
      <c r="O13" s="23">
        <f t="shared" si="1"/>
        <v>32328</v>
      </c>
      <c r="P13" s="22">
        <f t="shared" si="2"/>
        <v>6144</v>
      </c>
      <c r="Q13" s="137">
        <f t="shared" si="3"/>
        <v>0.15970056144728634</v>
      </c>
      <c r="R13" s="23">
        <f t="shared" si="4"/>
        <v>3463.7142857142862</v>
      </c>
      <c r="S13" s="23">
        <f t="shared" si="5"/>
        <v>4122</v>
      </c>
      <c r="T13" s="18">
        <f t="shared" si="6"/>
        <v>658.2857142857138</v>
      </c>
      <c r="U13" s="18">
        <f t="shared" si="7"/>
        <v>404.4</v>
      </c>
      <c r="V13" s="34">
        <f t="shared" si="9"/>
        <v>5485.714285714286</v>
      </c>
    </row>
    <row r="14" spans="1:22" s="8" customFormat="1" ht="12.75">
      <c r="A14" s="102">
        <v>40847</v>
      </c>
      <c r="B14" s="7" t="e">
        <f>IF(C14=#REF!,#REF!,#REF!+1)</f>
        <v>#REF!</v>
      </c>
      <c r="C14" s="24" t="s">
        <v>77</v>
      </c>
      <c r="D14" s="3" t="s">
        <v>78</v>
      </c>
      <c r="E14" s="35">
        <v>28800</v>
      </c>
      <c r="F14" s="7">
        <v>3</v>
      </c>
      <c r="G14" s="32">
        <v>35000</v>
      </c>
      <c r="H14" s="20">
        <f aca="true" t="shared" si="11" ref="H14:H23">G14*F14</f>
        <v>105000</v>
      </c>
      <c r="I14" s="21"/>
      <c r="J14" s="21"/>
      <c r="K14" s="7">
        <v>105000</v>
      </c>
      <c r="L14" s="103">
        <f t="shared" si="10"/>
        <v>105000</v>
      </c>
      <c r="M14" s="107" t="s">
        <v>84</v>
      </c>
      <c r="N14" s="108" t="s">
        <v>80</v>
      </c>
      <c r="O14" s="23">
        <f aca="true" t="shared" si="12" ref="O14:O23">F14*E14</f>
        <v>86400</v>
      </c>
      <c r="P14" s="22">
        <f aca="true" t="shared" si="13" ref="P14:P23">H14-O14</f>
        <v>18600</v>
      </c>
      <c r="Q14" s="137">
        <f aca="true" t="shared" si="14" ref="Q14:Q21">P14/H14</f>
        <v>0.17714285714285713</v>
      </c>
      <c r="R14" s="23">
        <f aca="true" t="shared" si="15" ref="R14:R23">(F14*E14)/112*12</f>
        <v>9257.142857142857</v>
      </c>
      <c r="S14" s="23">
        <f aca="true" t="shared" si="16" ref="S14:S23">H14/112*12</f>
        <v>11250</v>
      </c>
      <c r="T14" s="18">
        <f aca="true" t="shared" si="17" ref="T14:T23">IF(SUM(J14:K14)&gt;0,(S14-R14),0)</f>
        <v>1992.8571428571431</v>
      </c>
      <c r="U14" s="18">
        <f aca="true" t="shared" si="18" ref="U14:U23">IF(SUM(J14:K14)&gt;0,((P14-S14)*20/100),0)</f>
        <v>1470</v>
      </c>
      <c r="V14" s="34">
        <f t="shared" si="9"/>
        <v>16607.142857142855</v>
      </c>
    </row>
    <row r="15" spans="1:22" s="8" customFormat="1" ht="12.75">
      <c r="A15" s="102">
        <v>40847</v>
      </c>
      <c r="B15" s="7" t="e">
        <f aca="true" t="shared" si="19" ref="B15:B24">IF(C15=C14,B14,B14+1)</f>
        <v>#REF!</v>
      </c>
      <c r="C15" s="24" t="s">
        <v>79</v>
      </c>
      <c r="D15" s="3">
        <v>120197</v>
      </c>
      <c r="E15" s="35">
        <v>130</v>
      </c>
      <c r="F15" s="7">
        <v>104</v>
      </c>
      <c r="G15" s="32">
        <v>299</v>
      </c>
      <c r="H15" s="20">
        <f t="shared" si="11"/>
        <v>31096</v>
      </c>
      <c r="I15" s="181">
        <v>31096</v>
      </c>
      <c r="J15" s="21"/>
      <c r="K15" s="7"/>
      <c r="L15" s="103">
        <f t="shared" si="10"/>
        <v>31096</v>
      </c>
      <c r="M15" s="107" t="s">
        <v>83</v>
      </c>
      <c r="N15" s="108"/>
      <c r="O15" s="23">
        <f t="shared" si="12"/>
        <v>13520</v>
      </c>
      <c r="P15" s="22">
        <f t="shared" si="13"/>
        <v>17576</v>
      </c>
      <c r="Q15" s="137">
        <f t="shared" si="14"/>
        <v>0.5652173913043478</v>
      </c>
      <c r="R15" s="23">
        <f t="shared" si="15"/>
        <v>1448.5714285714284</v>
      </c>
      <c r="S15" s="23">
        <f t="shared" si="16"/>
        <v>3331.7142857142862</v>
      </c>
      <c r="T15" s="18">
        <f t="shared" si="17"/>
        <v>0</v>
      </c>
      <c r="U15" s="18">
        <f t="shared" si="18"/>
        <v>0</v>
      </c>
      <c r="V15" s="34">
        <f t="shared" si="9"/>
        <v>17576</v>
      </c>
    </row>
    <row r="16" spans="1:22" s="8" customFormat="1" ht="12.75">
      <c r="A16" s="102">
        <v>40847</v>
      </c>
      <c r="B16" s="7" t="e">
        <f t="shared" si="19"/>
        <v>#REF!</v>
      </c>
      <c r="C16" s="100" t="s">
        <v>67</v>
      </c>
      <c r="D16" s="3">
        <v>290067</v>
      </c>
      <c r="E16" s="35">
        <v>1347</v>
      </c>
      <c r="F16" s="7">
        <v>6</v>
      </c>
      <c r="G16" s="32">
        <v>1603</v>
      </c>
      <c r="H16" s="20">
        <f t="shared" si="11"/>
        <v>9618</v>
      </c>
      <c r="I16" s="181">
        <v>9618</v>
      </c>
      <c r="J16" s="21"/>
      <c r="K16" s="7"/>
      <c r="L16" s="103">
        <f t="shared" si="10"/>
        <v>9618</v>
      </c>
      <c r="M16" s="107" t="s">
        <v>94</v>
      </c>
      <c r="N16" s="108"/>
      <c r="O16" s="23">
        <f t="shared" si="12"/>
        <v>8082</v>
      </c>
      <c r="P16" s="22">
        <f t="shared" si="13"/>
        <v>1536</v>
      </c>
      <c r="Q16" s="137">
        <f t="shared" si="14"/>
        <v>0.15970056144728634</v>
      </c>
      <c r="R16" s="23">
        <f t="shared" si="15"/>
        <v>865.9285714285716</v>
      </c>
      <c r="S16" s="23">
        <f t="shared" si="16"/>
        <v>1030.5</v>
      </c>
      <c r="T16" s="18">
        <f t="shared" si="17"/>
        <v>0</v>
      </c>
      <c r="U16" s="18">
        <f t="shared" si="18"/>
        <v>0</v>
      </c>
      <c r="V16" s="34">
        <f t="shared" si="9"/>
        <v>1536</v>
      </c>
    </row>
    <row r="17" spans="1:22" s="8" customFormat="1" ht="12.75">
      <c r="A17" s="102">
        <v>40766</v>
      </c>
      <c r="B17" s="7" t="e">
        <f t="shared" si="19"/>
        <v>#REF!</v>
      </c>
      <c r="C17" s="24" t="s">
        <v>85</v>
      </c>
      <c r="D17" s="3" t="s">
        <v>86</v>
      </c>
      <c r="E17" s="35">
        <f>H17-V17</f>
        <v>38172</v>
      </c>
      <c r="F17" s="7">
        <v>1</v>
      </c>
      <c r="G17" s="32">
        <v>50896</v>
      </c>
      <c r="H17" s="20">
        <f t="shared" si="11"/>
        <v>50896</v>
      </c>
      <c r="I17" s="181">
        <v>50896</v>
      </c>
      <c r="J17" s="21"/>
      <c r="K17" s="7"/>
      <c r="L17" s="103">
        <f t="shared" si="10"/>
        <v>50896</v>
      </c>
      <c r="M17" s="107" t="s">
        <v>82</v>
      </c>
      <c r="N17" s="108"/>
      <c r="O17" s="23">
        <f t="shared" si="12"/>
        <v>38172</v>
      </c>
      <c r="P17" s="22">
        <f t="shared" si="13"/>
        <v>12724</v>
      </c>
      <c r="Q17" s="137">
        <f t="shared" si="14"/>
        <v>0.25</v>
      </c>
      <c r="R17" s="23">
        <f t="shared" si="15"/>
        <v>4089.8571428571427</v>
      </c>
      <c r="S17" s="23">
        <f t="shared" si="16"/>
        <v>5453.142857142857</v>
      </c>
      <c r="T17" s="18">
        <f t="shared" si="17"/>
        <v>0</v>
      </c>
      <c r="U17" s="18">
        <f t="shared" si="18"/>
        <v>0</v>
      </c>
      <c r="V17" s="34">
        <v>12724</v>
      </c>
    </row>
    <row r="18" spans="1:22" ht="12.75">
      <c r="A18" s="80"/>
      <c r="B18" s="7" t="e">
        <f>IF(C18=#REF!,#REF!,#REF!+1)</f>
        <v>#REF!</v>
      </c>
      <c r="C18" s="1" t="s">
        <v>66</v>
      </c>
      <c r="D18" s="4">
        <v>114276</v>
      </c>
      <c r="E18" s="35">
        <v>266</v>
      </c>
      <c r="F18" s="7">
        <v>30</v>
      </c>
      <c r="G18" s="32">
        <v>317</v>
      </c>
      <c r="H18" s="20">
        <f>G18*F18</f>
        <v>9510</v>
      </c>
      <c r="I18" s="181">
        <v>9510</v>
      </c>
      <c r="J18" s="21"/>
      <c r="K18" s="7"/>
      <c r="L18" s="103">
        <f aca="true" t="shared" si="20" ref="L18:L23">SUM(I18:K18)</f>
        <v>9510</v>
      </c>
      <c r="M18" s="6" t="s">
        <v>82</v>
      </c>
      <c r="N18" s="7"/>
      <c r="O18" s="23">
        <f>F18*E18</f>
        <v>7980</v>
      </c>
      <c r="P18" s="22">
        <f>H18-O18</f>
        <v>1530</v>
      </c>
      <c r="Q18" s="137">
        <f t="shared" si="14"/>
        <v>0.1608832807570978</v>
      </c>
      <c r="R18" s="23">
        <f>(F18*E18)/112*12</f>
        <v>855</v>
      </c>
      <c r="S18" s="23">
        <f>H18/112*12</f>
        <v>1018.9285714285716</v>
      </c>
      <c r="T18" s="18">
        <f>IF(SUM(J18:K18)&gt;0,(S18-R18),0)</f>
        <v>0</v>
      </c>
      <c r="U18" s="18">
        <f>IF(SUM(J18:K18)&gt;0,((P18-T18)*20/100),0)</f>
        <v>0</v>
      </c>
      <c r="V18" s="34">
        <f>H18-O18-T18</f>
        <v>1530</v>
      </c>
    </row>
    <row r="19" spans="1:22" ht="12.75">
      <c r="A19" s="80"/>
      <c r="B19" s="7" t="e">
        <f>IF(C19=C18,B18,B18+1)</f>
        <v>#REF!</v>
      </c>
      <c r="C19" s="1" t="s">
        <v>87</v>
      </c>
      <c r="D19" s="3">
        <v>290067</v>
      </c>
      <c r="E19" s="35">
        <v>1347</v>
      </c>
      <c r="F19" s="7">
        <v>6</v>
      </c>
      <c r="G19" s="32">
        <v>1603</v>
      </c>
      <c r="H19" s="20">
        <f>G19*F19</f>
        <v>9618</v>
      </c>
      <c r="I19" s="181">
        <v>9618</v>
      </c>
      <c r="J19" s="21"/>
      <c r="K19" s="6"/>
      <c r="L19" s="103">
        <f t="shared" si="20"/>
        <v>9618</v>
      </c>
      <c r="M19" s="6" t="s">
        <v>82</v>
      </c>
      <c r="N19" s="7"/>
      <c r="O19" s="23">
        <f>F19*E19</f>
        <v>8082</v>
      </c>
      <c r="P19" s="22">
        <f>H19-O19</f>
        <v>1536</v>
      </c>
      <c r="Q19" s="137">
        <f t="shared" si="14"/>
        <v>0.15970056144728634</v>
      </c>
      <c r="R19" s="23">
        <f>(F19*E19)/112*12</f>
        <v>865.9285714285716</v>
      </c>
      <c r="S19" s="23">
        <f>H19/112*12</f>
        <v>1030.5</v>
      </c>
      <c r="T19" s="18">
        <f>IF(SUM(J19:K19)&gt;0,(S19-R19),0)</f>
        <v>0</v>
      </c>
      <c r="U19" s="18">
        <f>IF(SUM(J19:K19)&gt;0,((P19-T19)*20/100),0)</f>
        <v>0</v>
      </c>
      <c r="V19" s="34">
        <f>H19-O19-T19</f>
        <v>1536</v>
      </c>
    </row>
    <row r="20" spans="1:22" ht="12" customHeight="1">
      <c r="A20" s="80">
        <v>40855</v>
      </c>
      <c r="B20" s="7" t="e">
        <f>IF(C20=#REF!,#REF!,#REF!+1)</f>
        <v>#REF!</v>
      </c>
      <c r="C20" s="1" t="s">
        <v>91</v>
      </c>
      <c r="D20" s="123" t="s">
        <v>92</v>
      </c>
      <c r="E20" s="35">
        <v>22400</v>
      </c>
      <c r="F20" s="7">
        <v>2</v>
      </c>
      <c r="G20" s="32">
        <v>28000</v>
      </c>
      <c r="H20" s="20">
        <f>G20*F20</f>
        <v>56000</v>
      </c>
      <c r="I20" s="181">
        <v>56000</v>
      </c>
      <c r="J20" s="21"/>
      <c r="K20" s="6"/>
      <c r="L20" s="103">
        <f t="shared" si="20"/>
        <v>56000</v>
      </c>
      <c r="M20" s="6" t="s">
        <v>96</v>
      </c>
      <c r="N20" s="7"/>
      <c r="O20" s="23">
        <f>F20*E20</f>
        <v>44800</v>
      </c>
      <c r="P20" s="22">
        <f>H20-O20</f>
        <v>11200</v>
      </c>
      <c r="Q20" s="137">
        <f t="shared" si="14"/>
        <v>0.2</v>
      </c>
      <c r="R20" s="23">
        <f>(F20*E20)/112*12</f>
        <v>4800</v>
      </c>
      <c r="S20" s="23">
        <f>H20/112*12</f>
        <v>6000</v>
      </c>
      <c r="T20" s="18">
        <f>IF(SUM(J20:K20)&gt;0,(S20-R20),0)</f>
        <v>0</v>
      </c>
      <c r="U20" s="18">
        <f>IF(SUM(J20:K20)&gt;0,((P20-T20)*20/100),0)</f>
        <v>0</v>
      </c>
      <c r="V20" s="34">
        <f>H20-O20-T20</f>
        <v>11200</v>
      </c>
    </row>
    <row r="21" spans="1:22" ht="12.75">
      <c r="A21" s="80">
        <v>40855</v>
      </c>
      <c r="B21" s="7" t="e">
        <f>IF(C21=C20,B20,B20+1)</f>
        <v>#REF!</v>
      </c>
      <c r="C21" s="1" t="s">
        <v>91</v>
      </c>
      <c r="D21" s="4" t="s">
        <v>93</v>
      </c>
      <c r="E21" s="35">
        <v>15300</v>
      </c>
      <c r="F21" s="7">
        <v>1</v>
      </c>
      <c r="G21" s="32">
        <v>19000</v>
      </c>
      <c r="H21" s="20">
        <f>G21*F21</f>
        <v>19000</v>
      </c>
      <c r="I21" s="181">
        <v>19000</v>
      </c>
      <c r="J21" s="21"/>
      <c r="K21" s="6"/>
      <c r="L21" s="103">
        <f t="shared" si="20"/>
        <v>19000</v>
      </c>
      <c r="M21" s="6" t="s">
        <v>96</v>
      </c>
      <c r="N21" s="7"/>
      <c r="O21" s="23">
        <f>F21*E21</f>
        <v>15300</v>
      </c>
      <c r="P21" s="22">
        <f>H21-O21</f>
        <v>3700</v>
      </c>
      <c r="Q21" s="137">
        <f t="shared" si="14"/>
        <v>0.19473684210526315</v>
      </c>
      <c r="R21" s="23">
        <f>(F21*E21)/112*12</f>
        <v>1639.2857142857142</v>
      </c>
      <c r="S21" s="23">
        <f>H21/112*12</f>
        <v>2035.7142857142858</v>
      </c>
      <c r="T21" s="18">
        <f>IF(SUM(J21:K21)&gt;0,(S21-R21),0)</f>
        <v>0</v>
      </c>
      <c r="U21" s="18">
        <f>IF(SUM(J21:K21)&gt;0,((P21-T21)*20/100),0)</f>
        <v>0</v>
      </c>
      <c r="V21" s="34">
        <f>H21-O21-T21</f>
        <v>3700</v>
      </c>
    </row>
    <row r="22" spans="2:22" s="8" customFormat="1" ht="12.75">
      <c r="B22" s="7" t="e">
        <f>IF(C22=C17,B17,B17+1)</f>
        <v>#REF!</v>
      </c>
      <c r="C22" s="24"/>
      <c r="D22" s="3"/>
      <c r="E22" s="35"/>
      <c r="F22" s="7"/>
      <c r="G22" s="32"/>
      <c r="H22" s="20">
        <f t="shared" si="11"/>
        <v>0</v>
      </c>
      <c r="I22" s="21"/>
      <c r="J22" s="21"/>
      <c r="K22" s="7"/>
      <c r="L22" s="103">
        <f t="shared" si="20"/>
        <v>0</v>
      </c>
      <c r="M22" s="107"/>
      <c r="N22" s="108"/>
      <c r="O22" s="23">
        <f t="shared" si="12"/>
        <v>0</v>
      </c>
      <c r="P22" s="22">
        <f t="shared" si="13"/>
        <v>0</v>
      </c>
      <c r="Q22" s="137"/>
      <c r="R22" s="23">
        <f t="shared" si="15"/>
        <v>0</v>
      </c>
      <c r="S22" s="23">
        <f t="shared" si="16"/>
        <v>0</v>
      </c>
      <c r="T22" s="18">
        <f t="shared" si="17"/>
        <v>0</v>
      </c>
      <c r="U22" s="18">
        <f t="shared" si="18"/>
        <v>0</v>
      </c>
      <c r="V22" s="34">
        <f>H22-O22-T22-U22</f>
        <v>0</v>
      </c>
    </row>
    <row r="23" spans="2:22" s="8" customFormat="1" ht="12.75">
      <c r="B23" s="7" t="e">
        <f t="shared" si="19"/>
        <v>#REF!</v>
      </c>
      <c r="C23" s="24"/>
      <c r="D23" s="3"/>
      <c r="E23" s="35"/>
      <c r="F23" s="7"/>
      <c r="G23" s="32"/>
      <c r="H23" s="20">
        <f t="shared" si="11"/>
        <v>0</v>
      </c>
      <c r="I23" s="21"/>
      <c r="J23" s="21"/>
      <c r="K23" s="7"/>
      <c r="L23" s="103">
        <f t="shared" si="20"/>
        <v>0</v>
      </c>
      <c r="M23" s="107"/>
      <c r="N23" s="108"/>
      <c r="O23" s="23">
        <f t="shared" si="12"/>
        <v>0</v>
      </c>
      <c r="P23" s="22">
        <f t="shared" si="13"/>
        <v>0</v>
      </c>
      <c r="Q23" s="137"/>
      <c r="R23" s="23">
        <f t="shared" si="15"/>
        <v>0</v>
      </c>
      <c r="S23" s="23">
        <f t="shared" si="16"/>
        <v>0</v>
      </c>
      <c r="T23" s="18">
        <f t="shared" si="17"/>
        <v>0</v>
      </c>
      <c r="U23" s="18">
        <f t="shared" si="18"/>
        <v>0</v>
      </c>
      <c r="V23" s="34">
        <f>H23-O23-T23-U23</f>
        <v>0</v>
      </c>
    </row>
    <row r="24" spans="1:23" s="23" customFormat="1" ht="12.75">
      <c r="A24" s="81"/>
      <c r="B24" s="82" t="e">
        <f t="shared" si="19"/>
        <v>#REF!</v>
      </c>
      <c r="C24" s="83"/>
      <c r="D24" s="84"/>
      <c r="E24" s="85"/>
      <c r="F24" s="81"/>
      <c r="G24" s="86"/>
      <c r="H24" s="87">
        <f aca="true" t="shared" si="21" ref="H24:P24">SUM(H2:H23)</f>
        <v>1016718</v>
      </c>
      <c r="I24" s="88">
        <f t="shared" si="21"/>
        <v>249642</v>
      </c>
      <c r="J24" s="88">
        <f t="shared" si="21"/>
        <v>0</v>
      </c>
      <c r="K24" s="89">
        <f t="shared" si="21"/>
        <v>767076</v>
      </c>
      <c r="L24" s="104">
        <f t="shared" si="21"/>
        <v>1016718</v>
      </c>
      <c r="M24" s="109">
        <f t="shared" si="21"/>
        <v>0</v>
      </c>
      <c r="N24" s="110">
        <f t="shared" si="21"/>
        <v>0</v>
      </c>
      <c r="O24" s="81">
        <f t="shared" si="21"/>
        <v>778896</v>
      </c>
      <c r="P24" s="81">
        <f t="shared" si="21"/>
        <v>237822</v>
      </c>
      <c r="Q24" s="138">
        <f>P24/H24</f>
        <v>0.23391146807669383</v>
      </c>
      <c r="R24" s="81">
        <f aca="true" t="shared" si="22" ref="R24:W24">SUM(R2:R23)</f>
        <v>83453.14285714286</v>
      </c>
      <c r="S24" s="81">
        <f t="shared" si="22"/>
        <v>108934.07142857142</v>
      </c>
      <c r="T24" s="81">
        <f t="shared" si="22"/>
        <v>19049.142857142848</v>
      </c>
      <c r="U24" s="81">
        <f t="shared" si="22"/>
        <v>20374.628571428573</v>
      </c>
      <c r="V24" s="89">
        <f>SUM(V2:V23)</f>
        <v>218772.85714285716</v>
      </c>
      <c r="W24" s="89">
        <f t="shared" si="22"/>
        <v>0</v>
      </c>
    </row>
    <row r="25" spans="3:23" s="23" customFormat="1" ht="12.75">
      <c r="C25" s="27"/>
      <c r="D25" s="28"/>
      <c r="E25" s="36">
        <f>E14*F14</f>
        <v>86400</v>
      </c>
      <c r="G25" s="26"/>
      <c r="H25" s="29"/>
      <c r="I25" s="30"/>
      <c r="J25" s="30"/>
      <c r="K25" s="186">
        <v>723648</v>
      </c>
      <c r="L25" s="105">
        <f>L24/H24</f>
        <v>1</v>
      </c>
      <c r="M25" s="111"/>
      <c r="N25" s="111"/>
      <c r="Q25" s="139"/>
      <c r="W25" s="101">
        <f>W24/H24</f>
        <v>0</v>
      </c>
    </row>
    <row r="26" spans="3:17" s="23" customFormat="1" ht="12.75">
      <c r="C26" s="27"/>
      <c r="D26" s="28"/>
      <c r="E26" s="36"/>
      <c r="G26" s="26"/>
      <c r="H26" s="29"/>
      <c r="I26" s="30"/>
      <c r="J26" s="30"/>
      <c r="L26" s="124"/>
      <c r="M26" s="111"/>
      <c r="N26" s="111"/>
      <c r="Q26" s="139"/>
    </row>
    <row r="27" spans="3:17" s="23" customFormat="1" ht="12.75">
      <c r="C27" s="27"/>
      <c r="D27" s="28"/>
      <c r="E27" s="36"/>
      <c r="G27" s="26"/>
      <c r="H27" s="29"/>
      <c r="I27" s="30"/>
      <c r="J27" s="30"/>
      <c r="L27" s="26"/>
      <c r="M27" s="111"/>
      <c r="N27" s="111"/>
      <c r="Q27" s="139"/>
    </row>
    <row r="28" spans="3:17" s="23" customFormat="1" ht="12.75">
      <c r="C28" s="27"/>
      <c r="D28" s="28"/>
      <c r="E28" s="36"/>
      <c r="G28" s="26"/>
      <c r="H28" s="29"/>
      <c r="I28" s="30"/>
      <c r="J28" s="30"/>
      <c r="L28" s="26"/>
      <c r="M28" s="111"/>
      <c r="N28" s="111"/>
      <c r="Q28" s="139"/>
    </row>
    <row r="29" spans="3:17" s="23" customFormat="1" ht="12.75">
      <c r="C29" s="27"/>
      <c r="D29" s="28"/>
      <c r="E29" s="36"/>
      <c r="G29" s="26"/>
      <c r="H29" s="29"/>
      <c r="I29" s="30"/>
      <c r="J29" s="30"/>
      <c r="L29" s="26"/>
      <c r="M29" s="111"/>
      <c r="N29" s="111"/>
      <c r="Q29" s="139"/>
    </row>
    <row r="30" spans="3:17" s="23" customFormat="1" ht="12.75">
      <c r="C30" s="27"/>
      <c r="D30" s="28"/>
      <c r="E30" s="36"/>
      <c r="G30" s="26"/>
      <c r="H30" s="29"/>
      <c r="I30" s="30"/>
      <c r="J30" s="30"/>
      <c r="L30" s="26"/>
      <c r="M30" s="111"/>
      <c r="N30" s="111"/>
      <c r="Q30" s="139"/>
    </row>
    <row r="31" spans="3:17" s="23" customFormat="1" ht="12.75">
      <c r="C31" s="27"/>
      <c r="D31" s="28"/>
      <c r="E31" s="36"/>
      <c r="G31" s="26"/>
      <c r="H31" s="29"/>
      <c r="I31" s="30"/>
      <c r="J31" s="30"/>
      <c r="L31" s="26"/>
      <c r="M31" s="111"/>
      <c r="N31" s="111"/>
      <c r="Q31" s="139"/>
    </row>
    <row r="32" spans="3:17" s="23" customFormat="1" ht="12.75">
      <c r="C32" s="27"/>
      <c r="D32" s="28"/>
      <c r="E32" s="36"/>
      <c r="G32" s="26"/>
      <c r="H32" s="29"/>
      <c r="I32" s="30"/>
      <c r="J32" s="30"/>
      <c r="L32" s="26"/>
      <c r="M32" s="111"/>
      <c r="N32" s="111"/>
      <c r="Q32" s="139"/>
    </row>
    <row r="33" spans="3:17" s="23" customFormat="1" ht="12.75">
      <c r="C33" s="27"/>
      <c r="D33" s="28"/>
      <c r="E33" s="36"/>
      <c r="G33" s="26"/>
      <c r="H33" s="29"/>
      <c r="I33" s="30"/>
      <c r="J33" s="30"/>
      <c r="L33" s="26"/>
      <c r="M33" s="111"/>
      <c r="N33" s="111"/>
      <c r="Q33" s="139"/>
    </row>
    <row r="34" spans="3:17" s="23" customFormat="1" ht="12.75">
      <c r="C34" s="27"/>
      <c r="D34" s="28"/>
      <c r="E34" s="36"/>
      <c r="G34" s="26"/>
      <c r="H34" s="29"/>
      <c r="I34" s="30"/>
      <c r="J34" s="30"/>
      <c r="L34" s="26"/>
      <c r="M34" s="111"/>
      <c r="N34" s="111"/>
      <c r="Q34" s="139"/>
    </row>
    <row r="35" spans="3:17" s="23" customFormat="1" ht="12.75">
      <c r="C35" s="27"/>
      <c r="D35" s="28"/>
      <c r="E35" s="36"/>
      <c r="G35" s="26"/>
      <c r="H35" s="29"/>
      <c r="I35" s="30"/>
      <c r="J35" s="30"/>
      <c r="L35" s="26"/>
      <c r="M35" s="111"/>
      <c r="N35" s="111"/>
      <c r="Q35" s="139"/>
    </row>
    <row r="36" spans="3:17" s="23" customFormat="1" ht="12.75">
      <c r="C36" s="27"/>
      <c r="D36" s="28"/>
      <c r="E36" s="36"/>
      <c r="G36" s="26"/>
      <c r="H36" s="29"/>
      <c r="I36" s="30"/>
      <c r="J36" s="30"/>
      <c r="L36" s="26"/>
      <c r="M36" s="111"/>
      <c r="N36" s="111"/>
      <c r="Q36" s="139"/>
    </row>
    <row r="37" spans="3:17" s="23" customFormat="1" ht="12.75">
      <c r="C37" s="27"/>
      <c r="D37" s="28"/>
      <c r="E37" s="36"/>
      <c r="G37" s="26"/>
      <c r="H37" s="29"/>
      <c r="I37" s="30"/>
      <c r="J37" s="30"/>
      <c r="L37" s="26"/>
      <c r="M37" s="111"/>
      <c r="N37" s="111"/>
      <c r="Q37" s="139"/>
    </row>
    <row r="38" spans="3:17" s="23" customFormat="1" ht="12.75">
      <c r="C38" s="27"/>
      <c r="D38" s="28"/>
      <c r="E38" s="36"/>
      <c r="G38" s="26"/>
      <c r="H38" s="29"/>
      <c r="I38" s="30"/>
      <c r="J38" s="30"/>
      <c r="L38" s="26"/>
      <c r="M38" s="111"/>
      <c r="N38" s="111"/>
      <c r="Q38" s="139"/>
    </row>
    <row r="39" spans="3:17" s="23" customFormat="1" ht="12.75">
      <c r="C39" s="27"/>
      <c r="D39" s="28"/>
      <c r="E39" s="36"/>
      <c r="G39" s="26"/>
      <c r="H39" s="29"/>
      <c r="I39" s="30"/>
      <c r="J39" s="30"/>
      <c r="L39" s="26"/>
      <c r="M39" s="111"/>
      <c r="N39" s="111"/>
      <c r="Q39" s="139"/>
    </row>
    <row r="40" spans="3:17" s="23" customFormat="1" ht="12.75">
      <c r="C40" s="27"/>
      <c r="D40" s="28"/>
      <c r="E40" s="36"/>
      <c r="G40" s="26"/>
      <c r="H40" s="29"/>
      <c r="I40" s="30"/>
      <c r="J40" s="30"/>
      <c r="L40" s="26"/>
      <c r="M40" s="111"/>
      <c r="N40" s="111"/>
      <c r="Q40" s="139"/>
    </row>
    <row r="41" spans="3:17" s="23" customFormat="1" ht="12.75">
      <c r="C41" s="27"/>
      <c r="D41" s="28"/>
      <c r="E41" s="36"/>
      <c r="G41" s="26"/>
      <c r="H41" s="29"/>
      <c r="I41" s="30"/>
      <c r="J41" s="30"/>
      <c r="L41" s="26"/>
      <c r="M41" s="111"/>
      <c r="N41" s="111"/>
      <c r="Q41" s="139"/>
    </row>
    <row r="42" spans="3:17" s="23" customFormat="1" ht="12.75">
      <c r="C42" s="27"/>
      <c r="D42" s="28"/>
      <c r="E42" s="36"/>
      <c r="G42" s="26"/>
      <c r="H42" s="29"/>
      <c r="I42" s="30"/>
      <c r="J42" s="30"/>
      <c r="L42" s="26"/>
      <c r="M42" s="111"/>
      <c r="N42" s="111"/>
      <c r="Q42" s="139"/>
    </row>
    <row r="43" spans="3:17" s="23" customFormat="1" ht="12.75">
      <c r="C43" s="27"/>
      <c r="D43" s="28"/>
      <c r="E43" s="36"/>
      <c r="G43" s="26"/>
      <c r="H43" s="29"/>
      <c r="I43" s="30"/>
      <c r="J43" s="30"/>
      <c r="L43" s="26"/>
      <c r="M43" s="111"/>
      <c r="N43" s="111"/>
      <c r="Q43" s="139"/>
    </row>
    <row r="44" spans="3:17" s="23" customFormat="1" ht="12.75">
      <c r="C44" s="27"/>
      <c r="D44" s="28"/>
      <c r="E44" s="36"/>
      <c r="G44" s="26"/>
      <c r="H44" s="29"/>
      <c r="I44" s="30"/>
      <c r="J44" s="30"/>
      <c r="L44" s="26"/>
      <c r="M44" s="111"/>
      <c r="N44" s="111"/>
      <c r="Q44" s="139"/>
    </row>
    <row r="45" spans="3:17" s="23" customFormat="1" ht="12.75">
      <c r="C45" s="27"/>
      <c r="D45" s="28"/>
      <c r="E45" s="36"/>
      <c r="G45" s="26"/>
      <c r="H45" s="29"/>
      <c r="I45" s="30"/>
      <c r="J45" s="30"/>
      <c r="L45" s="26"/>
      <c r="M45" s="111"/>
      <c r="N45" s="111"/>
      <c r="Q45" s="139"/>
    </row>
    <row r="46" spans="3:17" s="23" customFormat="1" ht="12.75">
      <c r="C46" s="27"/>
      <c r="D46" s="28"/>
      <c r="E46" s="36"/>
      <c r="G46" s="26"/>
      <c r="H46" s="29"/>
      <c r="I46" s="30"/>
      <c r="J46" s="30"/>
      <c r="L46" s="26"/>
      <c r="M46" s="111"/>
      <c r="N46" s="111"/>
      <c r="Q46" s="139"/>
    </row>
    <row r="47" spans="3:17" s="23" customFormat="1" ht="12.75">
      <c r="C47" s="27"/>
      <c r="D47" s="28"/>
      <c r="E47" s="36"/>
      <c r="G47" s="26"/>
      <c r="H47" s="29"/>
      <c r="I47" s="30"/>
      <c r="J47" s="30"/>
      <c r="L47" s="26"/>
      <c r="M47" s="111"/>
      <c r="N47" s="111"/>
      <c r="Q47" s="139"/>
    </row>
    <row r="48" spans="3:17" s="23" customFormat="1" ht="12.75">
      <c r="C48" s="27"/>
      <c r="D48" s="28"/>
      <c r="E48" s="36"/>
      <c r="G48" s="26"/>
      <c r="H48" s="29"/>
      <c r="I48" s="30"/>
      <c r="J48" s="30"/>
      <c r="L48" s="26"/>
      <c r="M48" s="111"/>
      <c r="N48" s="111"/>
      <c r="Q48" s="139"/>
    </row>
    <row r="49" spans="3:17" s="23" customFormat="1" ht="12.75">
      <c r="C49" s="27"/>
      <c r="D49" s="28"/>
      <c r="E49" s="36"/>
      <c r="G49" s="26"/>
      <c r="H49" s="29"/>
      <c r="I49" s="30"/>
      <c r="J49" s="30"/>
      <c r="L49" s="26"/>
      <c r="M49" s="111"/>
      <c r="N49" s="111"/>
      <c r="Q49" s="139"/>
    </row>
    <row r="50" spans="3:17" s="23" customFormat="1" ht="12.75">
      <c r="C50" s="27"/>
      <c r="D50" s="28"/>
      <c r="E50" s="36"/>
      <c r="G50" s="26"/>
      <c r="H50" s="29"/>
      <c r="I50" s="30"/>
      <c r="J50" s="30"/>
      <c r="L50" s="26"/>
      <c r="M50" s="111"/>
      <c r="N50" s="111"/>
      <c r="Q50" s="139"/>
    </row>
    <row r="51" spans="3:17" s="23" customFormat="1" ht="12.75">
      <c r="C51" s="27"/>
      <c r="D51" s="28"/>
      <c r="E51" s="36"/>
      <c r="G51" s="26"/>
      <c r="H51" s="29"/>
      <c r="I51" s="30"/>
      <c r="J51" s="30"/>
      <c r="L51" s="26"/>
      <c r="M51" s="111"/>
      <c r="N51" s="111"/>
      <c r="Q51" s="139"/>
    </row>
    <row r="52" spans="3:17" s="23" customFormat="1" ht="12.75">
      <c r="C52" s="27"/>
      <c r="D52" s="28"/>
      <c r="E52" s="36"/>
      <c r="G52" s="26"/>
      <c r="H52" s="29"/>
      <c r="I52" s="30"/>
      <c r="J52" s="30"/>
      <c r="L52" s="26"/>
      <c r="M52" s="111"/>
      <c r="N52" s="111"/>
      <c r="Q52" s="139"/>
    </row>
    <row r="53" spans="3:17" s="23" customFormat="1" ht="12.75">
      <c r="C53" s="27"/>
      <c r="D53" s="28"/>
      <c r="E53" s="36"/>
      <c r="G53" s="26"/>
      <c r="H53" s="29"/>
      <c r="I53" s="30"/>
      <c r="J53" s="30"/>
      <c r="L53" s="26"/>
      <c r="M53" s="111"/>
      <c r="N53" s="111"/>
      <c r="Q53" s="139"/>
    </row>
    <row r="54" spans="3:17" s="23" customFormat="1" ht="12.75">
      <c r="C54" s="27"/>
      <c r="D54" s="28"/>
      <c r="E54" s="36"/>
      <c r="G54" s="26"/>
      <c r="H54" s="29"/>
      <c r="I54" s="30"/>
      <c r="J54" s="30"/>
      <c r="L54" s="26"/>
      <c r="M54" s="111"/>
      <c r="N54" s="111"/>
      <c r="Q54" s="139"/>
    </row>
    <row r="55" spans="3:17" s="23" customFormat="1" ht="12.75">
      <c r="C55" s="27"/>
      <c r="D55" s="28"/>
      <c r="E55" s="36"/>
      <c r="G55" s="26"/>
      <c r="H55" s="29"/>
      <c r="I55" s="30"/>
      <c r="J55" s="30"/>
      <c r="L55" s="26"/>
      <c r="M55" s="111"/>
      <c r="N55" s="111"/>
      <c r="Q55" s="139"/>
    </row>
    <row r="56" spans="3:17" s="23" customFormat="1" ht="12.75">
      <c r="C56" s="27"/>
      <c r="D56" s="28"/>
      <c r="E56" s="36"/>
      <c r="G56" s="26"/>
      <c r="H56" s="29"/>
      <c r="I56" s="30"/>
      <c r="J56" s="30"/>
      <c r="L56" s="26"/>
      <c r="M56" s="111"/>
      <c r="N56" s="111"/>
      <c r="Q56" s="139"/>
    </row>
    <row r="57" spans="3:17" s="23" customFormat="1" ht="12.75">
      <c r="C57" s="27"/>
      <c r="D57" s="28"/>
      <c r="E57" s="36"/>
      <c r="G57" s="26"/>
      <c r="H57" s="29"/>
      <c r="I57" s="30"/>
      <c r="J57" s="30"/>
      <c r="L57" s="26"/>
      <c r="M57" s="111"/>
      <c r="N57" s="111"/>
      <c r="Q57" s="139"/>
    </row>
    <row r="58" spans="3:17" s="23" customFormat="1" ht="12.75">
      <c r="C58" s="27"/>
      <c r="D58" s="28"/>
      <c r="E58" s="36"/>
      <c r="G58" s="26"/>
      <c r="H58" s="29"/>
      <c r="I58" s="30"/>
      <c r="J58" s="30"/>
      <c r="L58" s="26"/>
      <c r="M58" s="111"/>
      <c r="N58" s="111"/>
      <c r="Q58" s="139"/>
    </row>
    <row r="59" spans="3:17" s="23" customFormat="1" ht="12.75">
      <c r="C59" s="27"/>
      <c r="D59" s="28"/>
      <c r="E59" s="36"/>
      <c r="G59" s="26"/>
      <c r="H59" s="29"/>
      <c r="I59" s="30"/>
      <c r="J59" s="30"/>
      <c r="L59" s="26"/>
      <c r="M59" s="111"/>
      <c r="N59" s="111"/>
      <c r="Q59" s="139"/>
    </row>
    <row r="60" spans="3:17" s="23" customFormat="1" ht="12.75">
      <c r="C60" s="27"/>
      <c r="D60" s="28"/>
      <c r="E60" s="36"/>
      <c r="G60" s="26"/>
      <c r="H60" s="29"/>
      <c r="I60" s="30"/>
      <c r="J60" s="30"/>
      <c r="L60" s="26"/>
      <c r="M60" s="111"/>
      <c r="N60" s="111"/>
      <c r="Q60" s="139"/>
    </row>
    <row r="61" spans="3:17" s="23" customFormat="1" ht="12.75">
      <c r="C61" s="27"/>
      <c r="D61" s="28"/>
      <c r="E61" s="36"/>
      <c r="G61" s="26"/>
      <c r="H61" s="29"/>
      <c r="I61" s="30"/>
      <c r="J61" s="30"/>
      <c r="L61" s="26"/>
      <c r="M61" s="111"/>
      <c r="N61" s="111"/>
      <c r="Q61" s="139"/>
    </row>
    <row r="62" spans="3:17" s="23" customFormat="1" ht="12.75">
      <c r="C62" s="27"/>
      <c r="D62" s="28"/>
      <c r="E62" s="36"/>
      <c r="G62" s="26"/>
      <c r="H62" s="29"/>
      <c r="I62" s="30"/>
      <c r="J62" s="30"/>
      <c r="L62" s="26"/>
      <c r="M62" s="111"/>
      <c r="N62" s="111"/>
      <c r="Q62" s="139"/>
    </row>
    <row r="63" spans="3:17" s="23" customFormat="1" ht="12.75">
      <c r="C63" s="27"/>
      <c r="D63" s="28"/>
      <c r="E63" s="36"/>
      <c r="G63" s="26"/>
      <c r="H63" s="29"/>
      <c r="I63" s="30"/>
      <c r="J63" s="30"/>
      <c r="L63" s="26"/>
      <c r="M63" s="111"/>
      <c r="N63" s="111"/>
      <c r="Q63" s="139"/>
    </row>
    <row r="64" spans="3:17" s="23" customFormat="1" ht="12.75">
      <c r="C64" s="27"/>
      <c r="D64" s="28"/>
      <c r="E64" s="36"/>
      <c r="G64" s="26"/>
      <c r="H64" s="29"/>
      <c r="I64" s="30"/>
      <c r="J64" s="30"/>
      <c r="L64" s="26"/>
      <c r="M64" s="111"/>
      <c r="N64" s="111"/>
      <c r="Q64" s="139"/>
    </row>
    <row r="65" spans="3:17" s="23" customFormat="1" ht="12.75">
      <c r="C65" s="27"/>
      <c r="D65" s="28"/>
      <c r="E65" s="36"/>
      <c r="G65" s="26"/>
      <c r="H65" s="29"/>
      <c r="I65" s="30"/>
      <c r="J65" s="30"/>
      <c r="L65" s="26"/>
      <c r="M65" s="111"/>
      <c r="N65" s="111"/>
      <c r="Q65" s="139"/>
    </row>
    <row r="66" spans="3:17" s="23" customFormat="1" ht="12.75">
      <c r="C66" s="27"/>
      <c r="D66" s="28"/>
      <c r="E66" s="36"/>
      <c r="G66" s="26"/>
      <c r="H66" s="29"/>
      <c r="I66" s="30"/>
      <c r="J66" s="30"/>
      <c r="L66" s="26"/>
      <c r="M66" s="111"/>
      <c r="N66" s="111"/>
      <c r="Q66" s="139"/>
    </row>
    <row r="67" spans="3:17" s="23" customFormat="1" ht="12.75">
      <c r="C67" s="27"/>
      <c r="D67" s="28"/>
      <c r="E67" s="36"/>
      <c r="G67" s="26"/>
      <c r="H67" s="29"/>
      <c r="I67" s="30"/>
      <c r="J67" s="30"/>
      <c r="L67" s="26"/>
      <c r="M67" s="111"/>
      <c r="N67" s="111"/>
      <c r="Q67" s="139"/>
    </row>
    <row r="68" spans="3:17" s="23" customFormat="1" ht="12.75">
      <c r="C68" s="27"/>
      <c r="D68" s="28"/>
      <c r="E68" s="36"/>
      <c r="G68" s="26"/>
      <c r="H68" s="29"/>
      <c r="I68" s="30"/>
      <c r="J68" s="30"/>
      <c r="L68" s="26"/>
      <c r="M68" s="111"/>
      <c r="N68" s="111"/>
      <c r="Q68" s="139"/>
    </row>
    <row r="69" spans="3:17" s="23" customFormat="1" ht="12.75">
      <c r="C69" s="27"/>
      <c r="D69" s="28"/>
      <c r="E69" s="36"/>
      <c r="G69" s="26"/>
      <c r="H69" s="29"/>
      <c r="I69" s="30"/>
      <c r="J69" s="30"/>
      <c r="L69" s="26"/>
      <c r="M69" s="111"/>
      <c r="N69" s="111"/>
      <c r="Q69" s="139"/>
    </row>
    <row r="70" spans="3:17" s="23" customFormat="1" ht="12.75">
      <c r="C70" s="27"/>
      <c r="D70" s="28"/>
      <c r="E70" s="36"/>
      <c r="G70" s="26"/>
      <c r="H70" s="29"/>
      <c r="I70" s="30"/>
      <c r="J70" s="30"/>
      <c r="L70" s="26"/>
      <c r="M70" s="111"/>
      <c r="N70" s="111"/>
      <c r="Q70" s="139"/>
    </row>
    <row r="71" spans="3:17" s="23" customFormat="1" ht="12.75">
      <c r="C71" s="27"/>
      <c r="D71" s="28"/>
      <c r="E71" s="36"/>
      <c r="G71" s="26"/>
      <c r="H71" s="29"/>
      <c r="I71" s="30"/>
      <c r="J71" s="30"/>
      <c r="L71" s="26"/>
      <c r="M71" s="111"/>
      <c r="N71" s="111"/>
      <c r="Q71" s="139"/>
    </row>
    <row r="72" spans="3:17" s="23" customFormat="1" ht="12.75">
      <c r="C72" s="27"/>
      <c r="D72" s="28"/>
      <c r="E72" s="36"/>
      <c r="G72" s="26"/>
      <c r="H72" s="29"/>
      <c r="I72" s="30"/>
      <c r="J72" s="30"/>
      <c r="L72" s="26"/>
      <c r="M72" s="111"/>
      <c r="N72" s="111"/>
      <c r="Q72" s="139"/>
    </row>
    <row r="73" spans="3:17" s="23" customFormat="1" ht="12.75">
      <c r="C73" s="27"/>
      <c r="D73" s="28"/>
      <c r="E73" s="36"/>
      <c r="G73" s="26"/>
      <c r="H73" s="29"/>
      <c r="I73" s="30"/>
      <c r="J73" s="30"/>
      <c r="L73" s="26"/>
      <c r="M73" s="111"/>
      <c r="N73" s="111"/>
      <c r="Q73" s="139"/>
    </row>
    <row r="74" spans="3:17" s="23" customFormat="1" ht="12.75">
      <c r="C74" s="27"/>
      <c r="D74" s="28"/>
      <c r="E74" s="36"/>
      <c r="G74" s="26"/>
      <c r="H74" s="29"/>
      <c r="I74" s="30"/>
      <c r="J74" s="30"/>
      <c r="L74" s="26"/>
      <c r="M74" s="111"/>
      <c r="N74" s="111"/>
      <c r="Q74" s="139"/>
    </row>
    <row r="75" spans="3:17" s="23" customFormat="1" ht="12.75">
      <c r="C75" s="27"/>
      <c r="D75" s="28"/>
      <c r="E75" s="36"/>
      <c r="G75" s="26"/>
      <c r="H75" s="29"/>
      <c r="I75" s="30"/>
      <c r="J75" s="30"/>
      <c r="L75" s="26"/>
      <c r="M75" s="111"/>
      <c r="N75" s="111"/>
      <c r="Q75" s="139"/>
    </row>
    <row r="76" spans="3:17" s="23" customFormat="1" ht="12.75">
      <c r="C76" s="27"/>
      <c r="D76" s="28"/>
      <c r="E76" s="36"/>
      <c r="G76" s="26"/>
      <c r="H76" s="29"/>
      <c r="I76" s="30"/>
      <c r="J76" s="30"/>
      <c r="L76" s="26"/>
      <c r="M76" s="111"/>
      <c r="N76" s="111"/>
      <c r="Q76" s="139"/>
    </row>
    <row r="77" spans="3:17" s="23" customFormat="1" ht="12.75">
      <c r="C77" s="27"/>
      <c r="D77" s="28"/>
      <c r="E77" s="36"/>
      <c r="G77" s="26"/>
      <c r="H77" s="29"/>
      <c r="I77" s="30"/>
      <c r="J77" s="30"/>
      <c r="L77" s="26"/>
      <c r="M77" s="111"/>
      <c r="N77" s="111"/>
      <c r="Q77" s="139"/>
    </row>
    <row r="78" spans="3:17" s="23" customFormat="1" ht="12.75">
      <c r="C78" s="27"/>
      <c r="D78" s="28"/>
      <c r="E78" s="36"/>
      <c r="G78" s="26"/>
      <c r="H78" s="29"/>
      <c r="I78" s="30"/>
      <c r="J78" s="30"/>
      <c r="L78" s="26"/>
      <c r="M78" s="111"/>
      <c r="N78" s="111"/>
      <c r="Q78" s="139"/>
    </row>
    <row r="79" spans="3:17" s="23" customFormat="1" ht="12.75">
      <c r="C79" s="27"/>
      <c r="D79" s="28"/>
      <c r="E79" s="36"/>
      <c r="G79" s="26"/>
      <c r="H79" s="29"/>
      <c r="I79" s="30"/>
      <c r="J79" s="30"/>
      <c r="L79" s="26"/>
      <c r="M79" s="111"/>
      <c r="N79" s="111"/>
      <c r="Q79" s="139"/>
    </row>
    <row r="80" spans="3:17" s="23" customFormat="1" ht="12.75">
      <c r="C80" s="27"/>
      <c r="D80" s="28"/>
      <c r="E80" s="36"/>
      <c r="G80" s="26"/>
      <c r="H80" s="29"/>
      <c r="I80" s="30"/>
      <c r="J80" s="30"/>
      <c r="L80" s="26"/>
      <c r="M80" s="111"/>
      <c r="N80" s="111"/>
      <c r="Q80" s="139"/>
    </row>
    <row r="81" spans="3:17" s="23" customFormat="1" ht="12.75">
      <c r="C81" s="27"/>
      <c r="D81" s="28"/>
      <c r="E81" s="36"/>
      <c r="G81" s="26"/>
      <c r="H81" s="29"/>
      <c r="I81" s="30"/>
      <c r="J81" s="30"/>
      <c r="L81" s="26"/>
      <c r="M81" s="111"/>
      <c r="N81" s="111"/>
      <c r="Q81" s="139"/>
    </row>
    <row r="82" spans="3:17" s="23" customFormat="1" ht="12.75">
      <c r="C82" s="27"/>
      <c r="D82" s="28"/>
      <c r="E82" s="36"/>
      <c r="G82" s="26"/>
      <c r="H82" s="29"/>
      <c r="I82" s="30"/>
      <c r="J82" s="30"/>
      <c r="L82" s="26"/>
      <c r="M82" s="111"/>
      <c r="N82" s="111"/>
      <c r="Q82" s="139"/>
    </row>
    <row r="83" spans="3:17" s="23" customFormat="1" ht="12.75">
      <c r="C83" s="27"/>
      <c r="D83" s="28"/>
      <c r="E83" s="36"/>
      <c r="G83" s="26"/>
      <c r="H83" s="29"/>
      <c r="I83" s="30"/>
      <c r="J83" s="30"/>
      <c r="L83" s="26"/>
      <c r="M83" s="111"/>
      <c r="N83" s="111"/>
      <c r="Q83" s="139"/>
    </row>
    <row r="84" spans="3:17" s="23" customFormat="1" ht="12.75">
      <c r="C84" s="27"/>
      <c r="D84" s="28"/>
      <c r="E84" s="36"/>
      <c r="G84" s="26"/>
      <c r="H84" s="29"/>
      <c r="I84" s="30"/>
      <c r="J84" s="30"/>
      <c r="L84" s="26"/>
      <c r="M84" s="111"/>
      <c r="N84" s="111"/>
      <c r="Q84" s="139"/>
    </row>
    <row r="85" spans="3:17" s="23" customFormat="1" ht="12.75">
      <c r="C85" s="27"/>
      <c r="D85" s="28"/>
      <c r="E85" s="36"/>
      <c r="G85" s="26"/>
      <c r="H85" s="29"/>
      <c r="I85" s="30"/>
      <c r="J85" s="30"/>
      <c r="L85" s="26"/>
      <c r="M85" s="111"/>
      <c r="N85" s="111"/>
      <c r="Q85" s="139"/>
    </row>
    <row r="86" spans="3:17" s="23" customFormat="1" ht="12.75">
      <c r="C86" s="27"/>
      <c r="D86" s="28"/>
      <c r="E86" s="36"/>
      <c r="G86" s="26"/>
      <c r="H86" s="29"/>
      <c r="I86" s="30"/>
      <c r="J86" s="30"/>
      <c r="L86" s="26"/>
      <c r="M86" s="111"/>
      <c r="N86" s="111"/>
      <c r="Q86" s="139"/>
    </row>
    <row r="87" spans="3:17" s="23" customFormat="1" ht="12.75">
      <c r="C87" s="27"/>
      <c r="D87" s="28"/>
      <c r="E87" s="36"/>
      <c r="G87" s="26"/>
      <c r="H87" s="29"/>
      <c r="I87" s="30"/>
      <c r="J87" s="30"/>
      <c r="L87" s="26"/>
      <c r="M87" s="111"/>
      <c r="N87" s="111"/>
      <c r="Q87" s="139"/>
    </row>
    <row r="88" spans="3:17" s="23" customFormat="1" ht="12.75">
      <c r="C88" s="27"/>
      <c r="D88" s="28"/>
      <c r="E88" s="36"/>
      <c r="G88" s="26"/>
      <c r="H88" s="29"/>
      <c r="I88" s="30"/>
      <c r="J88" s="30"/>
      <c r="L88" s="26"/>
      <c r="M88" s="111"/>
      <c r="N88" s="111"/>
      <c r="Q88" s="139"/>
    </row>
    <row r="89" spans="3:17" s="23" customFormat="1" ht="12.75">
      <c r="C89" s="27"/>
      <c r="D89" s="28"/>
      <c r="E89" s="36"/>
      <c r="G89" s="26"/>
      <c r="H89" s="29"/>
      <c r="I89" s="30"/>
      <c r="J89" s="30"/>
      <c r="L89" s="26"/>
      <c r="M89" s="111"/>
      <c r="N89" s="111"/>
      <c r="Q89" s="139"/>
    </row>
    <row r="90" spans="3:17" s="23" customFormat="1" ht="12.75">
      <c r="C90" s="27"/>
      <c r="D90" s="28"/>
      <c r="E90" s="36"/>
      <c r="G90" s="26"/>
      <c r="H90" s="29"/>
      <c r="I90" s="30"/>
      <c r="J90" s="30"/>
      <c r="L90" s="26"/>
      <c r="M90" s="111"/>
      <c r="N90" s="111"/>
      <c r="Q90" s="139"/>
    </row>
    <row r="91" spans="3:17" s="23" customFormat="1" ht="12.75">
      <c r="C91" s="27"/>
      <c r="D91" s="28"/>
      <c r="E91" s="36"/>
      <c r="G91" s="26"/>
      <c r="H91" s="29"/>
      <c r="I91" s="30"/>
      <c r="J91" s="30"/>
      <c r="L91" s="26"/>
      <c r="M91" s="111"/>
      <c r="N91" s="111"/>
      <c r="Q91" s="139"/>
    </row>
    <row r="92" spans="3:17" s="23" customFormat="1" ht="12.75">
      <c r="C92" s="27"/>
      <c r="D92" s="28"/>
      <c r="E92" s="36"/>
      <c r="G92" s="26"/>
      <c r="H92" s="29"/>
      <c r="I92" s="30"/>
      <c r="J92" s="30"/>
      <c r="L92" s="26"/>
      <c r="M92" s="111"/>
      <c r="N92" s="111"/>
      <c r="Q92" s="139"/>
    </row>
    <row r="93" spans="3:17" s="23" customFormat="1" ht="12.75">
      <c r="C93" s="27"/>
      <c r="D93" s="28"/>
      <c r="E93" s="36"/>
      <c r="G93" s="26"/>
      <c r="H93" s="29"/>
      <c r="I93" s="30"/>
      <c r="J93" s="30"/>
      <c r="L93" s="26"/>
      <c r="M93" s="111"/>
      <c r="N93" s="111"/>
      <c r="Q93" s="139"/>
    </row>
    <row r="94" spans="3:17" s="23" customFormat="1" ht="12.75">
      <c r="C94" s="27"/>
      <c r="D94" s="28"/>
      <c r="E94" s="36"/>
      <c r="G94" s="26"/>
      <c r="H94" s="29"/>
      <c r="I94" s="30"/>
      <c r="J94" s="30"/>
      <c r="L94" s="26"/>
      <c r="M94" s="111"/>
      <c r="N94" s="111"/>
      <c r="Q94" s="139"/>
    </row>
    <row r="95" spans="3:17" s="23" customFormat="1" ht="12.75">
      <c r="C95" s="27"/>
      <c r="D95" s="28"/>
      <c r="E95" s="36"/>
      <c r="G95" s="26"/>
      <c r="H95" s="29"/>
      <c r="I95" s="30"/>
      <c r="J95" s="30"/>
      <c r="L95" s="26"/>
      <c r="M95" s="111"/>
      <c r="N95" s="111"/>
      <c r="Q95" s="139"/>
    </row>
    <row r="96" spans="3:17" s="23" customFormat="1" ht="12.75">
      <c r="C96" s="27"/>
      <c r="D96" s="28"/>
      <c r="E96" s="36"/>
      <c r="G96" s="26"/>
      <c r="H96" s="29"/>
      <c r="I96" s="30"/>
      <c r="J96" s="30"/>
      <c r="L96" s="26"/>
      <c r="M96" s="111"/>
      <c r="N96" s="111"/>
      <c r="Q96" s="139"/>
    </row>
    <row r="97" spans="3:17" s="23" customFormat="1" ht="12.75">
      <c r="C97" s="27"/>
      <c r="D97" s="28"/>
      <c r="E97" s="36"/>
      <c r="G97" s="26"/>
      <c r="H97" s="29"/>
      <c r="I97" s="30"/>
      <c r="J97" s="30"/>
      <c r="L97" s="26"/>
      <c r="M97" s="111"/>
      <c r="N97" s="111"/>
      <c r="Q97" s="139"/>
    </row>
    <row r="98" spans="3:17" s="23" customFormat="1" ht="12.75">
      <c r="C98" s="27"/>
      <c r="D98" s="28"/>
      <c r="E98" s="36"/>
      <c r="G98" s="26"/>
      <c r="H98" s="29"/>
      <c r="I98" s="30"/>
      <c r="J98" s="30"/>
      <c r="L98" s="26"/>
      <c r="M98" s="111"/>
      <c r="N98" s="111"/>
      <c r="Q98" s="139"/>
    </row>
    <row r="99" spans="3:17" s="23" customFormat="1" ht="12.75">
      <c r="C99" s="27"/>
      <c r="D99" s="28"/>
      <c r="E99" s="36"/>
      <c r="G99" s="26"/>
      <c r="H99" s="29"/>
      <c r="I99" s="30"/>
      <c r="J99" s="30"/>
      <c r="L99" s="26"/>
      <c r="M99" s="111"/>
      <c r="N99" s="111"/>
      <c r="Q99" s="139"/>
    </row>
    <row r="100" spans="3:17" s="23" customFormat="1" ht="12.75">
      <c r="C100" s="27"/>
      <c r="D100" s="28"/>
      <c r="E100" s="36"/>
      <c r="G100" s="26"/>
      <c r="H100" s="29"/>
      <c r="I100" s="30"/>
      <c r="J100" s="30"/>
      <c r="L100" s="26"/>
      <c r="M100" s="111"/>
      <c r="N100" s="111"/>
      <c r="Q100" s="139"/>
    </row>
    <row r="101" spans="3:17" s="23" customFormat="1" ht="12.75">
      <c r="C101" s="27"/>
      <c r="D101" s="28"/>
      <c r="E101" s="36"/>
      <c r="G101" s="26"/>
      <c r="H101" s="29"/>
      <c r="I101" s="30"/>
      <c r="J101" s="30"/>
      <c r="L101" s="26"/>
      <c r="M101" s="111"/>
      <c r="N101" s="111"/>
      <c r="Q101" s="139"/>
    </row>
    <row r="102" spans="3:17" s="23" customFormat="1" ht="12.75">
      <c r="C102" s="27"/>
      <c r="D102" s="28"/>
      <c r="E102" s="36"/>
      <c r="G102" s="26"/>
      <c r="H102" s="29"/>
      <c r="I102" s="30"/>
      <c r="J102" s="30"/>
      <c r="L102" s="26"/>
      <c r="M102" s="111"/>
      <c r="N102" s="111"/>
      <c r="Q102" s="139"/>
    </row>
    <row r="103" spans="3:17" s="23" customFormat="1" ht="12.75">
      <c r="C103" s="27"/>
      <c r="D103" s="28"/>
      <c r="E103" s="36"/>
      <c r="G103" s="26"/>
      <c r="H103" s="29"/>
      <c r="I103" s="30"/>
      <c r="J103" s="30"/>
      <c r="L103" s="26"/>
      <c r="M103" s="111"/>
      <c r="N103" s="111"/>
      <c r="Q103" s="139"/>
    </row>
    <row r="104" spans="3:17" s="23" customFormat="1" ht="12.75">
      <c r="C104" s="27"/>
      <c r="D104" s="28"/>
      <c r="E104" s="36"/>
      <c r="G104" s="26"/>
      <c r="H104" s="29"/>
      <c r="I104" s="30"/>
      <c r="J104" s="30"/>
      <c r="L104" s="26"/>
      <c r="M104" s="111"/>
      <c r="N104" s="111"/>
      <c r="Q104" s="139"/>
    </row>
    <row r="105" spans="3:17" s="23" customFormat="1" ht="12.75">
      <c r="C105" s="27"/>
      <c r="D105" s="28"/>
      <c r="E105" s="36"/>
      <c r="G105" s="26"/>
      <c r="H105" s="29"/>
      <c r="I105" s="30"/>
      <c r="J105" s="30"/>
      <c r="L105" s="26"/>
      <c r="M105" s="111"/>
      <c r="N105" s="111"/>
      <c r="Q105" s="139"/>
    </row>
    <row r="106" spans="3:17" s="23" customFormat="1" ht="12.75">
      <c r="C106" s="27"/>
      <c r="D106" s="28"/>
      <c r="E106" s="36"/>
      <c r="G106" s="26"/>
      <c r="H106" s="29"/>
      <c r="I106" s="30"/>
      <c r="J106" s="30"/>
      <c r="L106" s="26"/>
      <c r="M106" s="111"/>
      <c r="N106" s="111"/>
      <c r="Q106" s="139"/>
    </row>
    <row r="107" spans="3:17" s="23" customFormat="1" ht="12.75">
      <c r="C107" s="27"/>
      <c r="D107" s="28"/>
      <c r="E107" s="36"/>
      <c r="G107" s="26"/>
      <c r="H107" s="29"/>
      <c r="I107" s="30"/>
      <c r="J107" s="30"/>
      <c r="L107" s="26"/>
      <c r="M107" s="111"/>
      <c r="N107" s="111"/>
      <c r="Q107" s="139"/>
    </row>
    <row r="108" spans="3:17" s="23" customFormat="1" ht="12.75">
      <c r="C108" s="27"/>
      <c r="D108" s="28"/>
      <c r="E108" s="36"/>
      <c r="G108" s="26"/>
      <c r="H108" s="29"/>
      <c r="I108" s="30"/>
      <c r="J108" s="30"/>
      <c r="L108" s="26"/>
      <c r="M108" s="111"/>
      <c r="N108" s="111"/>
      <c r="Q108" s="139"/>
    </row>
    <row r="109" spans="3:17" s="23" customFormat="1" ht="12.75">
      <c r="C109" s="27"/>
      <c r="D109" s="28"/>
      <c r="E109" s="36"/>
      <c r="G109" s="26"/>
      <c r="H109" s="29"/>
      <c r="I109" s="30"/>
      <c r="J109" s="30"/>
      <c r="L109" s="26"/>
      <c r="M109" s="111"/>
      <c r="N109" s="111"/>
      <c r="Q109" s="139"/>
    </row>
    <row r="110" spans="3:17" s="23" customFormat="1" ht="12.75">
      <c r="C110" s="27"/>
      <c r="D110" s="28"/>
      <c r="E110" s="36"/>
      <c r="G110" s="26"/>
      <c r="H110" s="29"/>
      <c r="I110" s="30"/>
      <c r="J110" s="30"/>
      <c r="L110" s="26"/>
      <c r="M110" s="111"/>
      <c r="N110" s="111"/>
      <c r="Q110" s="139"/>
    </row>
    <row r="111" spans="3:17" s="23" customFormat="1" ht="12.75">
      <c r="C111" s="27"/>
      <c r="D111" s="28"/>
      <c r="E111" s="36"/>
      <c r="G111" s="26"/>
      <c r="H111" s="29"/>
      <c r="I111" s="30"/>
      <c r="J111" s="30"/>
      <c r="L111" s="26"/>
      <c r="M111" s="111"/>
      <c r="N111" s="111"/>
      <c r="Q111" s="139"/>
    </row>
    <row r="112" spans="3:17" s="23" customFormat="1" ht="12.75">
      <c r="C112" s="27"/>
      <c r="D112" s="28"/>
      <c r="E112" s="36"/>
      <c r="G112" s="26"/>
      <c r="H112" s="29"/>
      <c r="I112" s="30"/>
      <c r="J112" s="30"/>
      <c r="L112" s="26"/>
      <c r="M112" s="111"/>
      <c r="N112" s="111"/>
      <c r="Q112" s="139"/>
    </row>
    <row r="113" spans="3:17" s="23" customFormat="1" ht="12.75">
      <c r="C113" s="27"/>
      <c r="D113" s="28"/>
      <c r="E113" s="36"/>
      <c r="G113" s="26"/>
      <c r="H113" s="29"/>
      <c r="I113" s="30"/>
      <c r="J113" s="30"/>
      <c r="L113" s="26"/>
      <c r="M113" s="111"/>
      <c r="N113" s="111"/>
      <c r="Q113" s="139"/>
    </row>
    <row r="114" spans="3:17" s="23" customFormat="1" ht="12.75">
      <c r="C114" s="27"/>
      <c r="D114" s="28"/>
      <c r="E114" s="36"/>
      <c r="G114" s="26"/>
      <c r="H114" s="29"/>
      <c r="I114" s="30"/>
      <c r="J114" s="30"/>
      <c r="L114" s="26"/>
      <c r="M114" s="111"/>
      <c r="N114" s="111"/>
      <c r="Q114" s="139"/>
    </row>
    <row r="115" spans="3:17" s="23" customFormat="1" ht="12.75">
      <c r="C115" s="27"/>
      <c r="D115" s="28"/>
      <c r="E115" s="36"/>
      <c r="G115" s="26"/>
      <c r="H115" s="29"/>
      <c r="I115" s="30"/>
      <c r="J115" s="30"/>
      <c r="L115" s="26"/>
      <c r="M115" s="111"/>
      <c r="N115" s="111"/>
      <c r="Q115" s="139"/>
    </row>
    <row r="116" spans="3:17" s="23" customFormat="1" ht="12.75">
      <c r="C116" s="27"/>
      <c r="D116" s="28"/>
      <c r="E116" s="36"/>
      <c r="G116" s="26"/>
      <c r="H116" s="29"/>
      <c r="I116" s="30"/>
      <c r="J116" s="30"/>
      <c r="L116" s="26"/>
      <c r="M116" s="111"/>
      <c r="N116" s="111"/>
      <c r="Q116" s="139"/>
    </row>
    <row r="117" spans="3:17" s="23" customFormat="1" ht="12.75">
      <c r="C117" s="27"/>
      <c r="D117" s="28"/>
      <c r="E117" s="36"/>
      <c r="G117" s="26"/>
      <c r="H117" s="29"/>
      <c r="I117" s="30"/>
      <c r="J117" s="30"/>
      <c r="L117" s="26"/>
      <c r="M117" s="111"/>
      <c r="N117" s="111"/>
      <c r="Q117" s="139"/>
    </row>
    <row r="118" spans="3:17" s="23" customFormat="1" ht="12.75">
      <c r="C118" s="27"/>
      <c r="D118" s="28"/>
      <c r="E118" s="36"/>
      <c r="G118" s="26"/>
      <c r="H118" s="29"/>
      <c r="I118" s="30"/>
      <c r="J118" s="30"/>
      <c r="L118" s="26"/>
      <c r="M118" s="111"/>
      <c r="N118" s="111"/>
      <c r="Q118" s="139"/>
    </row>
    <row r="119" spans="3:17" s="23" customFormat="1" ht="12.75">
      <c r="C119" s="27"/>
      <c r="D119" s="28"/>
      <c r="E119" s="36"/>
      <c r="G119" s="26"/>
      <c r="H119" s="29"/>
      <c r="I119" s="30"/>
      <c r="J119" s="30"/>
      <c r="L119" s="26"/>
      <c r="M119" s="111"/>
      <c r="N119" s="111"/>
      <c r="Q119" s="139"/>
    </row>
    <row r="120" spans="3:17" s="23" customFormat="1" ht="12.75">
      <c r="C120" s="27"/>
      <c r="D120" s="28"/>
      <c r="E120" s="36"/>
      <c r="G120" s="26"/>
      <c r="H120" s="29"/>
      <c r="I120" s="30"/>
      <c r="J120" s="30"/>
      <c r="L120" s="26"/>
      <c r="M120" s="111"/>
      <c r="N120" s="111"/>
      <c r="Q120" s="139"/>
    </row>
    <row r="121" spans="3:17" s="23" customFormat="1" ht="12.75">
      <c r="C121" s="27"/>
      <c r="D121" s="28"/>
      <c r="E121" s="36"/>
      <c r="G121" s="26"/>
      <c r="H121" s="29"/>
      <c r="I121" s="30"/>
      <c r="J121" s="30"/>
      <c r="L121" s="26"/>
      <c r="M121" s="111"/>
      <c r="N121" s="111"/>
      <c r="Q121" s="139"/>
    </row>
    <row r="122" spans="3:17" s="23" customFormat="1" ht="12.75">
      <c r="C122" s="27"/>
      <c r="D122" s="28"/>
      <c r="E122" s="36"/>
      <c r="G122" s="26"/>
      <c r="H122" s="29"/>
      <c r="I122" s="30"/>
      <c r="J122" s="30"/>
      <c r="L122" s="26"/>
      <c r="M122" s="111"/>
      <c r="N122" s="111"/>
      <c r="Q122" s="139"/>
    </row>
    <row r="123" spans="3:17" s="23" customFormat="1" ht="12.75">
      <c r="C123" s="27"/>
      <c r="D123" s="28"/>
      <c r="E123" s="36"/>
      <c r="G123" s="26"/>
      <c r="H123" s="29"/>
      <c r="I123" s="30"/>
      <c r="J123" s="30"/>
      <c r="L123" s="26"/>
      <c r="M123" s="111"/>
      <c r="N123" s="111"/>
      <c r="Q123" s="139"/>
    </row>
    <row r="124" spans="3:17" s="23" customFormat="1" ht="12.75">
      <c r="C124" s="27"/>
      <c r="D124" s="28"/>
      <c r="E124" s="36"/>
      <c r="G124" s="26"/>
      <c r="H124" s="29"/>
      <c r="I124" s="30"/>
      <c r="J124" s="30"/>
      <c r="L124" s="26"/>
      <c r="M124" s="111"/>
      <c r="N124" s="111"/>
      <c r="Q124" s="139"/>
    </row>
    <row r="125" spans="3:17" s="23" customFormat="1" ht="12.75">
      <c r="C125" s="27"/>
      <c r="D125" s="28"/>
      <c r="E125" s="36"/>
      <c r="G125" s="26"/>
      <c r="H125" s="29"/>
      <c r="I125" s="30"/>
      <c r="J125" s="30"/>
      <c r="L125" s="26"/>
      <c r="M125" s="111"/>
      <c r="N125" s="111"/>
      <c r="Q125" s="139"/>
    </row>
    <row r="126" spans="3:17" s="23" customFormat="1" ht="12.75">
      <c r="C126" s="27"/>
      <c r="D126" s="28"/>
      <c r="E126" s="36"/>
      <c r="G126" s="26"/>
      <c r="H126" s="29"/>
      <c r="I126" s="30"/>
      <c r="J126" s="30"/>
      <c r="L126" s="26"/>
      <c r="M126" s="111"/>
      <c r="N126" s="111"/>
      <c r="Q126" s="139"/>
    </row>
    <row r="127" spans="3:17" s="23" customFormat="1" ht="12.75">
      <c r="C127" s="27"/>
      <c r="D127" s="28"/>
      <c r="E127" s="36"/>
      <c r="G127" s="26"/>
      <c r="H127" s="29"/>
      <c r="I127" s="30"/>
      <c r="J127" s="30"/>
      <c r="L127" s="26"/>
      <c r="M127" s="111"/>
      <c r="N127" s="111"/>
      <c r="Q127" s="139"/>
    </row>
    <row r="128" spans="3:17" s="23" customFormat="1" ht="12.75">
      <c r="C128" s="27"/>
      <c r="D128" s="28"/>
      <c r="E128" s="36"/>
      <c r="G128" s="26"/>
      <c r="H128" s="29"/>
      <c r="I128" s="30"/>
      <c r="J128" s="30"/>
      <c r="L128" s="26"/>
      <c r="M128" s="111"/>
      <c r="N128" s="111"/>
      <c r="Q128" s="139"/>
    </row>
    <row r="129" spans="3:17" s="23" customFormat="1" ht="12.75">
      <c r="C129" s="27"/>
      <c r="D129" s="28"/>
      <c r="E129" s="36"/>
      <c r="G129" s="26"/>
      <c r="H129" s="29"/>
      <c r="I129" s="30"/>
      <c r="J129" s="30"/>
      <c r="L129" s="26"/>
      <c r="M129" s="111"/>
      <c r="N129" s="111"/>
      <c r="Q129" s="139"/>
    </row>
    <row r="130" spans="3:17" s="23" customFormat="1" ht="12.75">
      <c r="C130" s="27"/>
      <c r="D130" s="28"/>
      <c r="E130" s="36"/>
      <c r="G130" s="26"/>
      <c r="H130" s="29"/>
      <c r="I130" s="30"/>
      <c r="J130" s="30"/>
      <c r="L130" s="26"/>
      <c r="M130" s="111"/>
      <c r="N130" s="111"/>
      <c r="Q130" s="139"/>
    </row>
    <row r="131" spans="3:17" s="23" customFormat="1" ht="12.75">
      <c r="C131" s="27"/>
      <c r="D131" s="28"/>
      <c r="E131" s="36"/>
      <c r="G131" s="26"/>
      <c r="H131" s="29"/>
      <c r="I131" s="30"/>
      <c r="J131" s="30"/>
      <c r="L131" s="26"/>
      <c r="M131" s="111"/>
      <c r="N131" s="111"/>
      <c r="Q131" s="139"/>
    </row>
    <row r="132" spans="3:17" s="23" customFormat="1" ht="12.75">
      <c r="C132" s="27"/>
      <c r="D132" s="28"/>
      <c r="E132" s="36"/>
      <c r="G132" s="26"/>
      <c r="H132" s="29"/>
      <c r="I132" s="30"/>
      <c r="J132" s="30"/>
      <c r="L132" s="26"/>
      <c r="M132" s="111"/>
      <c r="N132" s="111"/>
      <c r="Q132" s="139"/>
    </row>
    <row r="133" spans="3:17" s="23" customFormat="1" ht="12.75">
      <c r="C133" s="27"/>
      <c r="D133" s="28"/>
      <c r="E133" s="36"/>
      <c r="G133" s="26"/>
      <c r="H133" s="29"/>
      <c r="I133" s="30"/>
      <c r="J133" s="30"/>
      <c r="L133" s="26"/>
      <c r="M133" s="111"/>
      <c r="N133" s="111"/>
      <c r="Q133" s="139"/>
    </row>
    <row r="134" spans="3:17" s="23" customFormat="1" ht="12.75">
      <c r="C134" s="27"/>
      <c r="D134" s="28"/>
      <c r="E134" s="36"/>
      <c r="G134" s="26"/>
      <c r="H134" s="29"/>
      <c r="I134" s="30"/>
      <c r="J134" s="30"/>
      <c r="L134" s="26"/>
      <c r="M134" s="111"/>
      <c r="N134" s="111"/>
      <c r="Q134" s="139"/>
    </row>
    <row r="135" spans="3:17" s="23" customFormat="1" ht="12.75">
      <c r="C135" s="27"/>
      <c r="D135" s="28"/>
      <c r="E135" s="36"/>
      <c r="G135" s="26"/>
      <c r="H135" s="29"/>
      <c r="I135" s="30"/>
      <c r="J135" s="30"/>
      <c r="L135" s="26"/>
      <c r="M135" s="111"/>
      <c r="N135" s="111"/>
      <c r="Q135" s="139"/>
    </row>
    <row r="136" spans="3:17" s="23" customFormat="1" ht="12.75">
      <c r="C136" s="27"/>
      <c r="D136" s="28"/>
      <c r="E136" s="36"/>
      <c r="G136" s="26"/>
      <c r="H136" s="29"/>
      <c r="I136" s="30"/>
      <c r="J136" s="30"/>
      <c r="L136" s="26"/>
      <c r="M136" s="111"/>
      <c r="N136" s="111"/>
      <c r="Q136" s="139"/>
    </row>
    <row r="137" spans="3:17" s="23" customFormat="1" ht="12.75">
      <c r="C137" s="27"/>
      <c r="D137" s="28"/>
      <c r="E137" s="36"/>
      <c r="G137" s="26"/>
      <c r="H137" s="29"/>
      <c r="I137" s="30"/>
      <c r="J137" s="30"/>
      <c r="L137" s="26"/>
      <c r="M137" s="111"/>
      <c r="N137" s="111"/>
      <c r="Q137" s="139"/>
    </row>
    <row r="138" spans="3:17" s="23" customFormat="1" ht="12.75">
      <c r="C138" s="27"/>
      <c r="D138" s="28"/>
      <c r="E138" s="36"/>
      <c r="G138" s="26"/>
      <c r="H138" s="29"/>
      <c r="I138" s="30"/>
      <c r="J138" s="30"/>
      <c r="L138" s="26"/>
      <c r="M138" s="111"/>
      <c r="N138" s="111"/>
      <c r="Q138" s="139"/>
    </row>
    <row r="139" spans="3:17" s="23" customFormat="1" ht="12.75">
      <c r="C139" s="27"/>
      <c r="D139" s="28"/>
      <c r="E139" s="36"/>
      <c r="G139" s="26"/>
      <c r="H139" s="29"/>
      <c r="I139" s="30"/>
      <c r="J139" s="30"/>
      <c r="L139" s="26"/>
      <c r="M139" s="111"/>
      <c r="N139" s="111"/>
      <c r="Q139" s="139"/>
    </row>
    <row r="140" spans="3:17" s="23" customFormat="1" ht="12.75">
      <c r="C140" s="27"/>
      <c r="D140" s="28"/>
      <c r="E140" s="36"/>
      <c r="G140" s="26"/>
      <c r="H140" s="29"/>
      <c r="I140" s="30"/>
      <c r="J140" s="30"/>
      <c r="L140" s="26"/>
      <c r="M140" s="111"/>
      <c r="N140" s="111"/>
      <c r="Q140" s="139"/>
    </row>
    <row r="141" spans="3:17" s="23" customFormat="1" ht="12.75">
      <c r="C141" s="27"/>
      <c r="D141" s="28"/>
      <c r="E141" s="36"/>
      <c r="G141" s="26"/>
      <c r="H141" s="29"/>
      <c r="I141" s="30"/>
      <c r="J141" s="30"/>
      <c r="L141" s="26"/>
      <c r="M141" s="111"/>
      <c r="N141" s="111"/>
      <c r="Q141" s="139"/>
    </row>
    <row r="142" spans="3:17" s="23" customFormat="1" ht="12.75">
      <c r="C142" s="27"/>
      <c r="D142" s="28"/>
      <c r="E142" s="36"/>
      <c r="G142" s="26"/>
      <c r="H142" s="29"/>
      <c r="I142" s="30"/>
      <c r="J142" s="30"/>
      <c r="L142" s="26"/>
      <c r="M142" s="111"/>
      <c r="N142" s="111"/>
      <c r="Q142" s="139"/>
    </row>
    <row r="143" spans="3:17" s="23" customFormat="1" ht="12.75">
      <c r="C143" s="27"/>
      <c r="D143" s="28"/>
      <c r="E143" s="36"/>
      <c r="G143" s="26"/>
      <c r="H143" s="29"/>
      <c r="I143" s="30"/>
      <c r="J143" s="30"/>
      <c r="L143" s="26"/>
      <c r="M143" s="111"/>
      <c r="N143" s="111"/>
      <c r="Q143" s="139"/>
    </row>
    <row r="144" spans="3:17" s="23" customFormat="1" ht="12.75">
      <c r="C144" s="27"/>
      <c r="D144" s="28"/>
      <c r="E144" s="36"/>
      <c r="G144" s="26"/>
      <c r="H144" s="29"/>
      <c r="I144" s="30"/>
      <c r="J144" s="30"/>
      <c r="L144" s="26"/>
      <c r="M144" s="111"/>
      <c r="N144" s="111"/>
      <c r="Q144" s="139"/>
    </row>
    <row r="145" spans="3:17" s="23" customFormat="1" ht="12.75">
      <c r="C145" s="27"/>
      <c r="D145" s="28"/>
      <c r="E145" s="36"/>
      <c r="G145" s="26"/>
      <c r="H145" s="29"/>
      <c r="I145" s="30"/>
      <c r="J145" s="30"/>
      <c r="L145" s="26"/>
      <c r="M145" s="111"/>
      <c r="N145" s="111"/>
      <c r="Q145" s="139"/>
    </row>
    <row r="146" spans="3:17" s="23" customFormat="1" ht="12.75">
      <c r="C146" s="27"/>
      <c r="D146" s="28"/>
      <c r="E146" s="36"/>
      <c r="G146" s="26"/>
      <c r="H146" s="29"/>
      <c r="I146" s="30"/>
      <c r="J146" s="30"/>
      <c r="L146" s="26"/>
      <c r="M146" s="111"/>
      <c r="N146" s="111"/>
      <c r="Q146" s="139"/>
    </row>
    <row r="147" spans="3:17" s="23" customFormat="1" ht="12.75">
      <c r="C147" s="27"/>
      <c r="D147" s="28"/>
      <c r="E147" s="36"/>
      <c r="G147" s="26"/>
      <c r="H147" s="29"/>
      <c r="I147" s="30"/>
      <c r="J147" s="30"/>
      <c r="L147" s="26"/>
      <c r="M147" s="111"/>
      <c r="N147" s="111"/>
      <c r="Q147" s="139"/>
    </row>
    <row r="148" spans="3:17" s="23" customFormat="1" ht="12.75">
      <c r="C148" s="27"/>
      <c r="D148" s="28"/>
      <c r="E148" s="36"/>
      <c r="G148" s="26"/>
      <c r="H148" s="29"/>
      <c r="I148" s="30"/>
      <c r="J148" s="30"/>
      <c r="L148" s="26"/>
      <c r="M148" s="111"/>
      <c r="N148" s="111"/>
      <c r="Q148" s="139"/>
    </row>
    <row r="149" spans="3:17" s="23" customFormat="1" ht="12.75">
      <c r="C149" s="27"/>
      <c r="D149" s="28"/>
      <c r="E149" s="36"/>
      <c r="G149" s="26"/>
      <c r="H149" s="29"/>
      <c r="I149" s="30"/>
      <c r="J149" s="30"/>
      <c r="L149" s="26"/>
      <c r="M149" s="111"/>
      <c r="N149" s="111"/>
      <c r="Q149" s="139"/>
    </row>
    <row r="150" spans="3:17" s="23" customFormat="1" ht="12.75">
      <c r="C150" s="27"/>
      <c r="D150" s="28"/>
      <c r="E150" s="36"/>
      <c r="G150" s="26"/>
      <c r="H150" s="29"/>
      <c r="I150" s="30"/>
      <c r="J150" s="30"/>
      <c r="L150" s="26"/>
      <c r="M150" s="111"/>
      <c r="N150" s="111"/>
      <c r="Q150" s="139"/>
    </row>
    <row r="151" spans="3:17" s="23" customFormat="1" ht="12.75">
      <c r="C151" s="27"/>
      <c r="D151" s="28"/>
      <c r="E151" s="36"/>
      <c r="G151" s="26"/>
      <c r="H151" s="29"/>
      <c r="I151" s="30"/>
      <c r="J151" s="30"/>
      <c r="L151" s="26"/>
      <c r="M151" s="111"/>
      <c r="N151" s="111"/>
      <c r="Q151" s="139"/>
    </row>
    <row r="152" spans="3:17" s="23" customFormat="1" ht="12.75">
      <c r="C152" s="27"/>
      <c r="D152" s="28"/>
      <c r="E152" s="36"/>
      <c r="G152" s="26"/>
      <c r="H152" s="29"/>
      <c r="I152" s="30"/>
      <c r="J152" s="30"/>
      <c r="L152" s="26"/>
      <c r="M152" s="111"/>
      <c r="N152" s="111"/>
      <c r="Q152" s="139"/>
    </row>
    <row r="153" spans="3:17" s="23" customFormat="1" ht="12.75">
      <c r="C153" s="27"/>
      <c r="D153" s="28"/>
      <c r="E153" s="36"/>
      <c r="G153" s="26"/>
      <c r="H153" s="29"/>
      <c r="I153" s="30"/>
      <c r="J153" s="30"/>
      <c r="L153" s="26"/>
      <c r="M153" s="111"/>
      <c r="N153" s="111"/>
      <c r="Q153" s="139"/>
    </row>
    <row r="154" spans="3:17" s="23" customFormat="1" ht="12.75">
      <c r="C154" s="27"/>
      <c r="D154" s="28"/>
      <c r="E154" s="36"/>
      <c r="G154" s="26"/>
      <c r="H154" s="29"/>
      <c r="I154" s="30"/>
      <c r="J154" s="30"/>
      <c r="L154" s="26"/>
      <c r="M154" s="111"/>
      <c r="N154" s="111"/>
      <c r="Q154" s="139"/>
    </row>
    <row r="155" spans="3:17" s="23" customFormat="1" ht="12.75">
      <c r="C155" s="27"/>
      <c r="D155" s="28"/>
      <c r="E155" s="36"/>
      <c r="G155" s="26"/>
      <c r="H155" s="29"/>
      <c r="I155" s="30"/>
      <c r="J155" s="30"/>
      <c r="L155" s="26"/>
      <c r="M155" s="111"/>
      <c r="N155" s="111"/>
      <c r="Q155" s="139"/>
    </row>
    <row r="156" spans="3:17" s="23" customFormat="1" ht="12.75">
      <c r="C156" s="27"/>
      <c r="D156" s="28"/>
      <c r="E156" s="36"/>
      <c r="G156" s="26"/>
      <c r="H156" s="29"/>
      <c r="I156" s="30"/>
      <c r="J156" s="30"/>
      <c r="L156" s="26"/>
      <c r="M156" s="111"/>
      <c r="N156" s="111"/>
      <c r="Q156" s="139"/>
    </row>
    <row r="157" spans="3:17" s="23" customFormat="1" ht="12.75">
      <c r="C157" s="27"/>
      <c r="D157" s="28"/>
      <c r="E157" s="36"/>
      <c r="G157" s="26"/>
      <c r="H157" s="29"/>
      <c r="I157" s="30"/>
      <c r="J157" s="30"/>
      <c r="L157" s="26"/>
      <c r="M157" s="111"/>
      <c r="N157" s="111"/>
      <c r="Q157" s="139"/>
    </row>
    <row r="158" spans="3:17" s="23" customFormat="1" ht="12.75">
      <c r="C158" s="27"/>
      <c r="D158" s="28"/>
      <c r="E158" s="36"/>
      <c r="G158" s="26"/>
      <c r="H158" s="29"/>
      <c r="I158" s="30"/>
      <c r="J158" s="30"/>
      <c r="L158" s="26"/>
      <c r="M158" s="111"/>
      <c r="N158" s="111"/>
      <c r="Q158" s="139"/>
    </row>
    <row r="159" spans="3:17" s="23" customFormat="1" ht="12.75">
      <c r="C159" s="27"/>
      <c r="D159" s="28"/>
      <c r="E159" s="36"/>
      <c r="G159" s="26"/>
      <c r="H159" s="29"/>
      <c r="I159" s="30"/>
      <c r="J159" s="30"/>
      <c r="L159" s="26"/>
      <c r="M159" s="111"/>
      <c r="N159" s="111"/>
      <c r="Q159" s="139"/>
    </row>
    <row r="160" spans="3:17" s="23" customFormat="1" ht="12.75">
      <c r="C160" s="27"/>
      <c r="D160" s="28"/>
      <c r="E160" s="36"/>
      <c r="G160" s="26"/>
      <c r="H160" s="29"/>
      <c r="I160" s="30"/>
      <c r="J160" s="30"/>
      <c r="L160" s="26"/>
      <c r="M160" s="111"/>
      <c r="N160" s="111"/>
      <c r="Q160" s="139"/>
    </row>
    <row r="161" spans="3:17" s="23" customFormat="1" ht="12.75">
      <c r="C161" s="27"/>
      <c r="D161" s="28"/>
      <c r="E161" s="36"/>
      <c r="G161" s="26"/>
      <c r="H161" s="29"/>
      <c r="I161" s="30"/>
      <c r="J161" s="30"/>
      <c r="L161" s="26"/>
      <c r="M161" s="111"/>
      <c r="N161" s="111"/>
      <c r="Q161" s="139"/>
    </row>
    <row r="162" spans="3:17" s="23" customFormat="1" ht="12.75">
      <c r="C162" s="27"/>
      <c r="D162" s="28"/>
      <c r="E162" s="36"/>
      <c r="G162" s="26"/>
      <c r="H162" s="29"/>
      <c r="I162" s="30"/>
      <c r="J162" s="30"/>
      <c r="L162" s="26"/>
      <c r="M162" s="111"/>
      <c r="N162" s="111"/>
      <c r="Q162" s="139"/>
    </row>
    <row r="163" spans="3:17" s="23" customFormat="1" ht="12.75">
      <c r="C163" s="27"/>
      <c r="D163" s="28"/>
      <c r="E163" s="36"/>
      <c r="G163" s="26"/>
      <c r="H163" s="29"/>
      <c r="I163" s="30"/>
      <c r="J163" s="30"/>
      <c r="L163" s="26"/>
      <c r="M163" s="111"/>
      <c r="N163" s="111"/>
      <c r="Q163" s="139"/>
    </row>
    <row r="164" spans="3:17" s="23" customFormat="1" ht="12.75">
      <c r="C164" s="27"/>
      <c r="D164" s="28"/>
      <c r="E164" s="36"/>
      <c r="G164" s="26"/>
      <c r="H164" s="29"/>
      <c r="I164" s="30"/>
      <c r="J164" s="30"/>
      <c r="L164" s="26"/>
      <c r="M164" s="111"/>
      <c r="N164" s="111"/>
      <c r="Q164" s="139"/>
    </row>
    <row r="165" spans="3:17" s="23" customFormat="1" ht="12.75">
      <c r="C165" s="27"/>
      <c r="D165" s="28"/>
      <c r="E165" s="36"/>
      <c r="G165" s="26"/>
      <c r="H165" s="29"/>
      <c r="I165" s="30"/>
      <c r="J165" s="30"/>
      <c r="L165" s="26"/>
      <c r="M165" s="111"/>
      <c r="N165" s="111"/>
      <c r="Q165" s="139"/>
    </row>
    <row r="166" spans="3:17" s="23" customFormat="1" ht="12.75">
      <c r="C166" s="27"/>
      <c r="D166" s="28"/>
      <c r="E166" s="36"/>
      <c r="G166" s="26"/>
      <c r="H166" s="29"/>
      <c r="I166" s="30"/>
      <c r="J166" s="30"/>
      <c r="L166" s="26"/>
      <c r="M166" s="111"/>
      <c r="N166" s="111"/>
      <c r="Q166" s="139"/>
    </row>
    <row r="167" spans="3:17" s="23" customFormat="1" ht="12.75">
      <c r="C167" s="27"/>
      <c r="D167" s="28"/>
      <c r="E167" s="36"/>
      <c r="G167" s="26"/>
      <c r="H167" s="29"/>
      <c r="I167" s="30"/>
      <c r="J167" s="30"/>
      <c r="L167" s="26"/>
      <c r="M167" s="111"/>
      <c r="N167" s="111"/>
      <c r="Q167" s="139"/>
    </row>
    <row r="168" spans="3:17" s="23" customFormat="1" ht="12.75">
      <c r="C168" s="27"/>
      <c r="D168" s="28"/>
      <c r="E168" s="36"/>
      <c r="G168" s="26"/>
      <c r="H168" s="29"/>
      <c r="I168" s="30"/>
      <c r="J168" s="30"/>
      <c r="L168" s="26"/>
      <c r="M168" s="111"/>
      <c r="N168" s="111"/>
      <c r="Q168" s="139"/>
    </row>
    <row r="169" spans="3:17" s="23" customFormat="1" ht="12.75">
      <c r="C169" s="27"/>
      <c r="D169" s="28"/>
      <c r="E169" s="36"/>
      <c r="G169" s="26"/>
      <c r="H169" s="29"/>
      <c r="I169" s="30"/>
      <c r="J169" s="30"/>
      <c r="L169" s="26"/>
      <c r="M169" s="111"/>
      <c r="N169" s="111"/>
      <c r="Q169" s="139"/>
    </row>
    <row r="170" spans="3:17" s="23" customFormat="1" ht="12.75">
      <c r="C170" s="27"/>
      <c r="D170" s="28"/>
      <c r="E170" s="36"/>
      <c r="G170" s="26"/>
      <c r="H170" s="29"/>
      <c r="I170" s="30"/>
      <c r="J170" s="30"/>
      <c r="L170" s="26"/>
      <c r="M170" s="111"/>
      <c r="N170" s="111"/>
      <c r="Q170" s="139"/>
    </row>
    <row r="171" spans="3:17" s="23" customFormat="1" ht="12.75">
      <c r="C171" s="27"/>
      <c r="D171" s="28"/>
      <c r="E171" s="36"/>
      <c r="G171" s="26"/>
      <c r="H171" s="29"/>
      <c r="I171" s="30"/>
      <c r="J171" s="30"/>
      <c r="L171" s="26"/>
      <c r="M171" s="111"/>
      <c r="N171" s="111"/>
      <c r="Q171" s="139"/>
    </row>
    <row r="172" spans="3:17" s="23" customFormat="1" ht="12.75">
      <c r="C172" s="27"/>
      <c r="D172" s="28"/>
      <c r="E172" s="36"/>
      <c r="G172" s="26"/>
      <c r="H172" s="29"/>
      <c r="I172" s="30"/>
      <c r="J172" s="30"/>
      <c r="L172" s="26"/>
      <c r="M172" s="111"/>
      <c r="N172" s="111"/>
      <c r="Q172" s="139"/>
    </row>
    <row r="173" spans="3:17" s="23" customFormat="1" ht="12.75">
      <c r="C173" s="27"/>
      <c r="D173" s="28"/>
      <c r="E173" s="36"/>
      <c r="G173" s="26"/>
      <c r="H173" s="29"/>
      <c r="I173" s="30"/>
      <c r="J173" s="30"/>
      <c r="L173" s="26"/>
      <c r="M173" s="111"/>
      <c r="N173" s="111"/>
      <c r="Q173" s="139"/>
    </row>
    <row r="174" spans="3:17" s="23" customFormat="1" ht="12.75">
      <c r="C174" s="27"/>
      <c r="D174" s="28"/>
      <c r="E174" s="36"/>
      <c r="G174" s="26"/>
      <c r="H174" s="29"/>
      <c r="I174" s="30"/>
      <c r="J174" s="30"/>
      <c r="L174" s="26"/>
      <c r="M174" s="111"/>
      <c r="N174" s="111"/>
      <c r="Q174" s="139"/>
    </row>
    <row r="175" spans="3:17" s="23" customFormat="1" ht="12.75">
      <c r="C175" s="27"/>
      <c r="D175" s="28"/>
      <c r="E175" s="36"/>
      <c r="G175" s="26"/>
      <c r="H175" s="29"/>
      <c r="I175" s="30"/>
      <c r="J175" s="30"/>
      <c r="L175" s="26"/>
      <c r="M175" s="111"/>
      <c r="N175" s="111"/>
      <c r="Q175" s="139"/>
    </row>
    <row r="176" spans="3:17" s="23" customFormat="1" ht="12.75">
      <c r="C176" s="27"/>
      <c r="D176" s="28"/>
      <c r="E176" s="36"/>
      <c r="G176" s="26"/>
      <c r="H176" s="29"/>
      <c r="I176" s="30"/>
      <c r="J176" s="30"/>
      <c r="L176" s="26"/>
      <c r="M176" s="111"/>
      <c r="N176" s="111"/>
      <c r="Q176" s="139"/>
    </row>
    <row r="177" spans="3:17" s="23" customFormat="1" ht="12.75">
      <c r="C177" s="27"/>
      <c r="D177" s="28"/>
      <c r="E177" s="36"/>
      <c r="G177" s="26"/>
      <c r="H177" s="29"/>
      <c r="I177" s="30"/>
      <c r="J177" s="30"/>
      <c r="L177" s="26"/>
      <c r="M177" s="111"/>
      <c r="N177" s="111"/>
      <c r="Q177" s="139"/>
    </row>
    <row r="178" spans="3:17" s="23" customFormat="1" ht="12.75">
      <c r="C178" s="27"/>
      <c r="D178" s="28"/>
      <c r="E178" s="36"/>
      <c r="G178" s="26"/>
      <c r="H178" s="29"/>
      <c r="I178" s="30"/>
      <c r="J178" s="30"/>
      <c r="L178" s="26"/>
      <c r="M178" s="111"/>
      <c r="N178" s="111"/>
      <c r="Q178" s="139"/>
    </row>
    <row r="179" spans="3:17" s="23" customFormat="1" ht="12.75">
      <c r="C179" s="27"/>
      <c r="D179" s="28"/>
      <c r="E179" s="36"/>
      <c r="G179" s="26"/>
      <c r="H179" s="29"/>
      <c r="I179" s="30"/>
      <c r="J179" s="30"/>
      <c r="L179" s="26"/>
      <c r="M179" s="111"/>
      <c r="N179" s="111"/>
      <c r="Q179" s="139"/>
    </row>
    <row r="180" spans="3:17" s="23" customFormat="1" ht="12.75">
      <c r="C180" s="27"/>
      <c r="D180" s="28"/>
      <c r="E180" s="36"/>
      <c r="G180" s="26"/>
      <c r="H180" s="29"/>
      <c r="I180" s="30"/>
      <c r="J180" s="30"/>
      <c r="L180" s="26"/>
      <c r="M180" s="111"/>
      <c r="N180" s="111"/>
      <c r="Q180" s="139"/>
    </row>
    <row r="181" spans="3:17" s="23" customFormat="1" ht="12.75">
      <c r="C181" s="27"/>
      <c r="D181" s="28"/>
      <c r="E181" s="36"/>
      <c r="G181" s="26"/>
      <c r="H181" s="29"/>
      <c r="I181" s="30"/>
      <c r="J181" s="30"/>
      <c r="L181" s="26"/>
      <c r="M181" s="111"/>
      <c r="N181" s="111"/>
      <c r="Q181" s="139"/>
    </row>
    <row r="182" spans="3:17" s="23" customFormat="1" ht="12.75">
      <c r="C182" s="27"/>
      <c r="D182" s="28"/>
      <c r="E182" s="36"/>
      <c r="G182" s="26"/>
      <c r="H182" s="29"/>
      <c r="I182" s="30"/>
      <c r="J182" s="30"/>
      <c r="L182" s="26"/>
      <c r="M182" s="111"/>
      <c r="N182" s="111"/>
      <c r="Q182" s="139"/>
    </row>
    <row r="183" spans="3:17" s="23" customFormat="1" ht="12.75">
      <c r="C183" s="27"/>
      <c r="D183" s="28"/>
      <c r="E183" s="36"/>
      <c r="G183" s="26"/>
      <c r="H183" s="29"/>
      <c r="I183" s="30"/>
      <c r="J183" s="30"/>
      <c r="L183" s="26"/>
      <c r="M183" s="111"/>
      <c r="N183" s="111"/>
      <c r="Q183" s="139"/>
    </row>
    <row r="184" spans="3:17" s="23" customFormat="1" ht="12.75">
      <c r="C184" s="27"/>
      <c r="D184" s="28"/>
      <c r="E184" s="36"/>
      <c r="G184" s="26"/>
      <c r="H184" s="29"/>
      <c r="I184" s="30"/>
      <c r="J184" s="30"/>
      <c r="L184" s="26"/>
      <c r="M184" s="111"/>
      <c r="N184" s="111"/>
      <c r="Q184" s="139"/>
    </row>
    <row r="185" spans="3:17" s="23" customFormat="1" ht="12.75">
      <c r="C185" s="27"/>
      <c r="D185" s="28"/>
      <c r="E185" s="36"/>
      <c r="G185" s="26"/>
      <c r="H185" s="29"/>
      <c r="I185" s="30"/>
      <c r="J185" s="30"/>
      <c r="L185" s="26"/>
      <c r="M185" s="111"/>
      <c r="N185" s="111"/>
      <c r="Q185" s="139"/>
    </row>
    <row r="186" spans="3:17" s="23" customFormat="1" ht="12.75">
      <c r="C186" s="27"/>
      <c r="D186" s="28"/>
      <c r="E186" s="36"/>
      <c r="G186" s="26"/>
      <c r="H186" s="29"/>
      <c r="I186" s="30"/>
      <c r="J186" s="30"/>
      <c r="L186" s="26"/>
      <c r="M186" s="111"/>
      <c r="N186" s="111"/>
      <c r="Q186" s="139"/>
    </row>
    <row r="187" spans="3:17" s="23" customFormat="1" ht="12.75">
      <c r="C187" s="27"/>
      <c r="D187" s="28"/>
      <c r="E187" s="36"/>
      <c r="G187" s="26"/>
      <c r="H187" s="29"/>
      <c r="I187" s="30"/>
      <c r="J187" s="30"/>
      <c r="L187" s="26"/>
      <c r="M187" s="111"/>
      <c r="N187" s="111"/>
      <c r="Q187" s="139"/>
    </row>
    <row r="188" spans="3:17" s="23" customFormat="1" ht="12.75">
      <c r="C188" s="27"/>
      <c r="D188" s="28"/>
      <c r="E188" s="36"/>
      <c r="G188" s="26"/>
      <c r="H188" s="29"/>
      <c r="I188" s="30"/>
      <c r="J188" s="30"/>
      <c r="L188" s="26"/>
      <c r="M188" s="111"/>
      <c r="N188" s="111"/>
      <c r="Q188" s="139"/>
    </row>
    <row r="189" spans="3:17" s="23" customFormat="1" ht="12.75">
      <c r="C189" s="27"/>
      <c r="D189" s="28"/>
      <c r="E189" s="36"/>
      <c r="G189" s="26"/>
      <c r="H189" s="29"/>
      <c r="I189" s="30"/>
      <c r="J189" s="30"/>
      <c r="L189" s="26"/>
      <c r="M189" s="111"/>
      <c r="N189" s="111"/>
      <c r="Q189" s="139"/>
    </row>
    <row r="190" spans="3:17" s="23" customFormat="1" ht="12.75">
      <c r="C190" s="27"/>
      <c r="D190" s="28"/>
      <c r="E190" s="36"/>
      <c r="G190" s="26"/>
      <c r="H190" s="29"/>
      <c r="I190" s="30"/>
      <c r="J190" s="30"/>
      <c r="L190" s="26"/>
      <c r="M190" s="111"/>
      <c r="N190" s="111"/>
      <c r="Q190" s="139"/>
    </row>
    <row r="191" spans="3:17" s="23" customFormat="1" ht="12.75">
      <c r="C191" s="27"/>
      <c r="D191" s="28"/>
      <c r="E191" s="36"/>
      <c r="G191" s="26"/>
      <c r="H191" s="29"/>
      <c r="I191" s="30"/>
      <c r="J191" s="30"/>
      <c r="L191" s="26"/>
      <c r="M191" s="111"/>
      <c r="N191" s="111"/>
      <c r="Q191" s="139"/>
    </row>
    <row r="192" spans="3:17" s="23" customFormat="1" ht="12.75">
      <c r="C192" s="27"/>
      <c r="D192" s="28"/>
      <c r="E192" s="36"/>
      <c r="G192" s="26"/>
      <c r="H192" s="29"/>
      <c r="I192" s="30"/>
      <c r="J192" s="30"/>
      <c r="L192" s="26"/>
      <c r="M192" s="111"/>
      <c r="N192" s="111"/>
      <c r="Q192" s="139"/>
    </row>
    <row r="193" spans="3:17" s="23" customFormat="1" ht="12.75">
      <c r="C193" s="27"/>
      <c r="D193" s="28"/>
      <c r="E193" s="36"/>
      <c r="G193" s="26"/>
      <c r="H193" s="29"/>
      <c r="I193" s="30"/>
      <c r="J193" s="30"/>
      <c r="L193" s="26"/>
      <c r="M193" s="111"/>
      <c r="N193" s="111"/>
      <c r="Q193" s="139"/>
    </row>
    <row r="194" spans="3:17" s="23" customFormat="1" ht="12.75">
      <c r="C194" s="27"/>
      <c r="D194" s="28"/>
      <c r="E194" s="36"/>
      <c r="G194" s="26"/>
      <c r="H194" s="29"/>
      <c r="I194" s="30"/>
      <c r="J194" s="30"/>
      <c r="L194" s="26"/>
      <c r="M194" s="111"/>
      <c r="N194" s="111"/>
      <c r="Q194" s="139"/>
    </row>
    <row r="195" spans="3:17" s="23" customFormat="1" ht="12.75">
      <c r="C195" s="27"/>
      <c r="D195" s="28"/>
      <c r="E195" s="36"/>
      <c r="G195" s="26"/>
      <c r="H195" s="29"/>
      <c r="I195" s="30"/>
      <c r="J195" s="30"/>
      <c r="L195" s="26"/>
      <c r="M195" s="111"/>
      <c r="N195" s="111"/>
      <c r="Q195" s="139"/>
    </row>
    <row r="196" spans="3:17" s="23" customFormat="1" ht="12.75">
      <c r="C196" s="27"/>
      <c r="D196" s="28"/>
      <c r="E196" s="36"/>
      <c r="G196" s="26"/>
      <c r="H196" s="29"/>
      <c r="I196" s="30"/>
      <c r="J196" s="30"/>
      <c r="L196" s="26"/>
      <c r="M196" s="111"/>
      <c r="N196" s="111"/>
      <c r="Q196" s="139"/>
    </row>
    <row r="197" spans="3:17" s="23" customFormat="1" ht="12.75">
      <c r="C197" s="27"/>
      <c r="D197" s="28"/>
      <c r="E197" s="36"/>
      <c r="G197" s="26"/>
      <c r="H197" s="29"/>
      <c r="I197" s="30"/>
      <c r="J197" s="30"/>
      <c r="L197" s="26"/>
      <c r="M197" s="111"/>
      <c r="N197" s="111"/>
      <c r="Q197" s="139"/>
    </row>
    <row r="198" spans="3:17" s="23" customFormat="1" ht="12.75">
      <c r="C198" s="27"/>
      <c r="D198" s="28"/>
      <c r="E198" s="36"/>
      <c r="G198" s="26"/>
      <c r="H198" s="29"/>
      <c r="I198" s="30"/>
      <c r="J198" s="30"/>
      <c r="L198" s="26"/>
      <c r="M198" s="111"/>
      <c r="N198" s="111"/>
      <c r="Q198" s="139"/>
    </row>
    <row r="199" spans="3:17" s="23" customFormat="1" ht="12.75">
      <c r="C199" s="27"/>
      <c r="D199" s="28"/>
      <c r="E199" s="36"/>
      <c r="G199" s="26"/>
      <c r="H199" s="29"/>
      <c r="I199" s="30"/>
      <c r="J199" s="30"/>
      <c r="L199" s="26"/>
      <c r="M199" s="111"/>
      <c r="N199" s="111"/>
      <c r="Q199" s="139"/>
    </row>
    <row r="200" spans="3:17" s="23" customFormat="1" ht="12.75">
      <c r="C200" s="27"/>
      <c r="D200" s="28"/>
      <c r="E200" s="36"/>
      <c r="G200" s="26"/>
      <c r="H200" s="29"/>
      <c r="I200" s="30"/>
      <c r="J200" s="30"/>
      <c r="L200" s="26"/>
      <c r="M200" s="111"/>
      <c r="N200" s="111"/>
      <c r="Q200" s="139"/>
    </row>
    <row r="201" spans="3:17" s="23" customFormat="1" ht="12.75">
      <c r="C201" s="27"/>
      <c r="D201" s="28"/>
      <c r="E201" s="36"/>
      <c r="G201" s="26"/>
      <c r="H201" s="29"/>
      <c r="I201" s="30"/>
      <c r="J201" s="30"/>
      <c r="L201" s="26"/>
      <c r="M201" s="111"/>
      <c r="N201" s="111"/>
      <c r="Q201" s="139"/>
    </row>
    <row r="202" spans="3:17" s="23" customFormat="1" ht="12.75">
      <c r="C202" s="27"/>
      <c r="D202" s="28"/>
      <c r="E202" s="36"/>
      <c r="G202" s="26"/>
      <c r="H202" s="29"/>
      <c r="I202" s="30"/>
      <c r="J202" s="30"/>
      <c r="L202" s="26"/>
      <c r="M202" s="111"/>
      <c r="N202" s="111"/>
      <c r="Q202" s="139"/>
    </row>
    <row r="203" spans="3:17" s="23" customFormat="1" ht="12.75">
      <c r="C203" s="27"/>
      <c r="D203" s="28"/>
      <c r="E203" s="36"/>
      <c r="G203" s="26"/>
      <c r="H203" s="29"/>
      <c r="I203" s="30"/>
      <c r="J203" s="30"/>
      <c r="L203" s="26"/>
      <c r="M203" s="111"/>
      <c r="N203" s="111"/>
      <c r="Q203" s="139"/>
    </row>
    <row r="204" spans="3:17" s="23" customFormat="1" ht="12.75">
      <c r="C204" s="27"/>
      <c r="D204" s="28"/>
      <c r="E204" s="36"/>
      <c r="G204" s="26"/>
      <c r="H204" s="29"/>
      <c r="I204" s="30"/>
      <c r="J204" s="30"/>
      <c r="L204" s="26"/>
      <c r="M204" s="111"/>
      <c r="N204" s="111"/>
      <c r="Q204" s="139"/>
    </row>
    <row r="205" spans="3:17" s="23" customFormat="1" ht="12.75">
      <c r="C205" s="27"/>
      <c r="D205" s="28"/>
      <c r="E205" s="36"/>
      <c r="G205" s="26"/>
      <c r="H205" s="29"/>
      <c r="I205" s="30"/>
      <c r="J205" s="30"/>
      <c r="L205" s="26"/>
      <c r="M205" s="111"/>
      <c r="N205" s="111"/>
      <c r="Q205" s="139"/>
    </row>
    <row r="206" spans="3:17" s="23" customFormat="1" ht="12.75">
      <c r="C206" s="27"/>
      <c r="D206" s="28"/>
      <c r="E206" s="36"/>
      <c r="G206" s="26"/>
      <c r="H206" s="29"/>
      <c r="I206" s="30"/>
      <c r="J206" s="30"/>
      <c r="L206" s="26"/>
      <c r="M206" s="111"/>
      <c r="N206" s="111"/>
      <c r="Q206" s="139"/>
    </row>
    <row r="207" spans="3:17" s="23" customFormat="1" ht="12.75">
      <c r="C207" s="27"/>
      <c r="D207" s="28"/>
      <c r="E207" s="36"/>
      <c r="G207" s="26"/>
      <c r="H207" s="29"/>
      <c r="I207" s="30"/>
      <c r="J207" s="30"/>
      <c r="L207" s="26"/>
      <c r="M207" s="111"/>
      <c r="N207" s="111"/>
      <c r="Q207" s="139"/>
    </row>
    <row r="208" spans="3:17" s="23" customFormat="1" ht="12.75">
      <c r="C208" s="27"/>
      <c r="D208" s="28"/>
      <c r="E208" s="36"/>
      <c r="G208" s="26"/>
      <c r="H208" s="29"/>
      <c r="I208" s="30"/>
      <c r="J208" s="30"/>
      <c r="L208" s="26"/>
      <c r="M208" s="111"/>
      <c r="N208" s="111"/>
      <c r="Q208" s="139"/>
    </row>
    <row r="209" spans="3:17" s="23" customFormat="1" ht="12.75">
      <c r="C209" s="27"/>
      <c r="D209" s="28"/>
      <c r="E209" s="36"/>
      <c r="G209" s="26"/>
      <c r="H209" s="29"/>
      <c r="I209" s="30"/>
      <c r="J209" s="30"/>
      <c r="L209" s="26"/>
      <c r="M209" s="111"/>
      <c r="N209" s="111"/>
      <c r="Q209" s="139"/>
    </row>
    <row r="210" spans="3:17" s="23" customFormat="1" ht="12.75">
      <c r="C210" s="27"/>
      <c r="D210" s="28"/>
      <c r="E210" s="36"/>
      <c r="G210" s="26"/>
      <c r="H210" s="29"/>
      <c r="I210" s="31"/>
      <c r="J210" s="31"/>
      <c r="K210" s="18"/>
      <c r="L210" s="8"/>
      <c r="M210" s="112"/>
      <c r="N210" s="111"/>
      <c r="Q210" s="139"/>
    </row>
  </sheetData>
  <sheetProtection/>
  <autoFilter ref="B1:S26">
    <sortState ref="B2:S210">
      <sortCondition sortBy="value" ref="C2:C210"/>
    </sortState>
  </autoFilter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1"/>
  <sheetViews>
    <sheetView zoomScalePageLayoutView="0" workbookViewId="0" topLeftCell="A1">
      <pane xSplit="3" ySplit="1" topLeftCell="D11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134" sqref="M134"/>
    </sheetView>
  </sheetViews>
  <sheetFormatPr defaultColWidth="9.140625" defaultRowHeight="15" outlineLevelRow="2" outlineLevelCol="1"/>
  <cols>
    <col min="1" max="1" width="10.140625" style="80" bestFit="1" customWidth="1"/>
    <col min="2" max="2" width="28.00390625" style="398" customWidth="1"/>
    <col min="3" max="3" width="47.00390625" style="399" customWidth="1"/>
    <col min="4" max="4" width="8.00390625" style="400" customWidth="1"/>
    <col min="5" max="5" width="7.140625" style="401" customWidth="1"/>
    <col min="6" max="6" width="9.28125" style="386" customWidth="1"/>
    <col min="7" max="7" width="10.421875" style="373" customWidth="1"/>
    <col min="8" max="8" width="9.00390625" style="398" customWidth="1"/>
    <col min="9" max="9" width="10.7109375" style="374" customWidth="1"/>
    <col min="10" max="10" width="11.00390625" style="386" customWidth="1"/>
    <col min="11" max="11" width="8.28125" style="374" customWidth="1"/>
    <col min="12" max="12" width="15.00390625" style="374" customWidth="1"/>
    <col min="13" max="13" width="12.140625" style="374" customWidth="1"/>
    <col min="14" max="14" width="14.00390625" style="415" customWidth="1"/>
    <col min="15" max="15" width="11.57421875" style="374" hidden="1" customWidth="1" outlineLevel="1"/>
    <col min="16" max="16" width="10.140625" style="374" hidden="1" customWidth="1" outlineLevel="1"/>
    <col min="17" max="17" width="8.57421875" style="374" customWidth="1" collapsed="1"/>
    <col min="18" max="18" width="7.57421875" style="374" customWidth="1"/>
    <col min="19" max="19" width="10.140625" style="374" customWidth="1"/>
    <col min="20" max="20" width="9.28125" style="366" customWidth="1"/>
    <col min="21" max="21" width="8.421875" style="366" customWidth="1"/>
    <col min="22" max="22" width="9.00390625" style="374" customWidth="1"/>
    <col min="23" max="16384" width="9.140625" style="374" customWidth="1"/>
  </cols>
  <sheetData>
    <row r="1" spans="1:22" s="373" customFormat="1" ht="25.5" customHeight="1">
      <c r="A1" s="402" t="s">
        <v>61</v>
      </c>
      <c r="B1" s="369" t="s">
        <v>16</v>
      </c>
      <c r="C1" s="371" t="s">
        <v>17</v>
      </c>
      <c r="D1" s="369" t="s">
        <v>48</v>
      </c>
      <c r="E1" s="372" t="s">
        <v>18</v>
      </c>
      <c r="F1" s="369" t="s">
        <v>19</v>
      </c>
      <c r="G1" s="369" t="s">
        <v>20</v>
      </c>
      <c r="H1" s="369" t="s">
        <v>22</v>
      </c>
      <c r="I1" s="369" t="s">
        <v>23</v>
      </c>
      <c r="J1" s="369" t="s">
        <v>73</v>
      </c>
      <c r="K1" s="369" t="s">
        <v>24</v>
      </c>
      <c r="L1" s="369" t="s">
        <v>58</v>
      </c>
      <c r="M1" s="369" t="s">
        <v>55</v>
      </c>
      <c r="N1" s="414" t="s">
        <v>68</v>
      </c>
      <c r="O1" s="369" t="s">
        <v>56</v>
      </c>
      <c r="P1" s="369" t="s">
        <v>57</v>
      </c>
      <c r="Q1" s="369" t="s">
        <v>59</v>
      </c>
      <c r="R1" s="369" t="s">
        <v>60</v>
      </c>
      <c r="S1" s="369" t="s">
        <v>129</v>
      </c>
      <c r="T1" s="369" t="s">
        <v>146</v>
      </c>
      <c r="U1" s="369" t="s">
        <v>397</v>
      </c>
      <c r="V1" s="369" t="s">
        <v>147</v>
      </c>
    </row>
    <row r="2" spans="1:20" ht="12" customHeight="1">
      <c r="A2" s="80">
        <v>41282</v>
      </c>
      <c r="B2" s="376" t="s">
        <v>170</v>
      </c>
      <c r="C2" s="377" t="s">
        <v>137</v>
      </c>
      <c r="D2" s="378">
        <v>200</v>
      </c>
      <c r="E2" s="387">
        <v>30</v>
      </c>
      <c r="F2" s="380">
        <v>230</v>
      </c>
      <c r="G2" s="381">
        <f>F2*E2</f>
        <v>6900</v>
      </c>
      <c r="H2" s="382"/>
      <c r="I2" s="375">
        <v>31600</v>
      </c>
      <c r="J2" s="380">
        <f>SUM(H2:I2)</f>
        <v>31600</v>
      </c>
      <c r="K2" s="375" t="s">
        <v>84</v>
      </c>
      <c r="L2" s="383">
        <f>E2*D2</f>
        <v>6000</v>
      </c>
      <c r="M2" s="383">
        <f>G2-L2</f>
        <v>900</v>
      </c>
      <c r="N2" s="277">
        <f>M2/G2</f>
        <v>0.13043478260869565</v>
      </c>
      <c r="O2" s="383">
        <f>(E2*D2)/112*12</f>
        <v>642.8571428571429</v>
      </c>
      <c r="P2" s="383">
        <f>G2/112*12</f>
        <v>739.2857142857142</v>
      </c>
      <c r="Q2" s="374">
        <f>IF(SUM(H2:I2)&gt;0,(P2-O2),0)</f>
        <v>96.42857142857133</v>
      </c>
      <c r="R2" s="374">
        <f>IF(SUM(H2:I2)&gt;0,((M2-Q2)*20/100),0)</f>
        <v>160.71428571428572</v>
      </c>
      <c r="S2" s="385">
        <f>G2-L2-Q2</f>
        <v>803.5714285714287</v>
      </c>
      <c r="T2" s="366">
        <f>S2-R2</f>
        <v>642.8571428571429</v>
      </c>
    </row>
    <row r="3" spans="1:20" ht="12" customHeight="1">
      <c r="A3" s="80">
        <v>41282</v>
      </c>
      <c r="B3" s="376" t="s">
        <v>170</v>
      </c>
      <c r="C3" s="377" t="s">
        <v>153</v>
      </c>
      <c r="D3" s="378">
        <v>160</v>
      </c>
      <c r="E3" s="387">
        <v>6</v>
      </c>
      <c r="F3" s="380">
        <v>200</v>
      </c>
      <c r="G3" s="381">
        <f>F3*E3</f>
        <v>1200</v>
      </c>
      <c r="H3" s="382"/>
      <c r="I3" s="375"/>
      <c r="J3" s="380">
        <f>SUM(H3:I3)</f>
        <v>0</v>
      </c>
      <c r="K3" s="375" t="s">
        <v>84</v>
      </c>
      <c r="L3" s="383">
        <f>E3*D3</f>
        <v>960</v>
      </c>
      <c r="M3" s="383">
        <f>G3-L3</f>
        <v>240</v>
      </c>
      <c r="N3" s="277">
        <f>M3/G3</f>
        <v>0.2</v>
      </c>
      <c r="O3" s="383">
        <f>(E3*D3)/112*12</f>
        <v>102.85714285714286</v>
      </c>
      <c r="P3" s="383">
        <f>G3/112*12</f>
        <v>128.57142857142856</v>
      </c>
      <c r="Q3" s="374">
        <f>IF(SUM(H3:I3)&gt;0,(P3-O3),0)</f>
        <v>0</v>
      </c>
      <c r="R3" s="374">
        <f>IF(SUM(H3:I3)&gt;0,((M3-Q3)*20/100),0)</f>
        <v>0</v>
      </c>
      <c r="S3" s="385">
        <f>G3-L3-Q3</f>
        <v>240</v>
      </c>
      <c r="T3" s="366">
        <f>S3-R3</f>
        <v>240</v>
      </c>
    </row>
    <row r="4" spans="1:22" s="444" customFormat="1" ht="12" customHeight="1" outlineLevel="1">
      <c r="A4" s="433"/>
      <c r="B4" s="435" t="s">
        <v>275</v>
      </c>
      <c r="C4" s="436"/>
      <c r="D4" s="437"/>
      <c r="E4" s="438">
        <f>SUBTOTAL(9,E2:E3)</f>
        <v>36</v>
      </c>
      <c r="F4" s="439"/>
      <c r="G4" s="501">
        <f aca="true" t="shared" si="0" ref="G4:V4">SUBTOTAL(9,G2:G3)</f>
        <v>8100</v>
      </c>
      <c r="H4" s="501">
        <f t="shared" si="0"/>
        <v>0</v>
      </c>
      <c r="I4" s="501">
        <f t="shared" si="0"/>
        <v>31600</v>
      </c>
      <c r="J4" s="501">
        <f t="shared" si="0"/>
        <v>31600</v>
      </c>
      <c r="K4" s="501" t="s">
        <v>84</v>
      </c>
      <c r="L4" s="501">
        <f t="shared" si="0"/>
        <v>6960</v>
      </c>
      <c r="M4" s="501">
        <f t="shared" si="0"/>
        <v>1140</v>
      </c>
      <c r="N4" s="501">
        <f t="shared" si="0"/>
        <v>0.33043478260869563</v>
      </c>
      <c r="O4" s="501">
        <f t="shared" si="0"/>
        <v>745.7142857142858</v>
      </c>
      <c r="P4" s="501">
        <f t="shared" si="0"/>
        <v>867.8571428571428</v>
      </c>
      <c r="Q4" s="501">
        <f t="shared" si="0"/>
        <v>96.42857142857133</v>
      </c>
      <c r="R4" s="501">
        <f t="shared" si="0"/>
        <v>160.71428571428572</v>
      </c>
      <c r="S4" s="501">
        <f t="shared" si="0"/>
        <v>1043.5714285714287</v>
      </c>
      <c r="T4" s="501">
        <f t="shared" si="0"/>
        <v>882.8571428571429</v>
      </c>
      <c r="U4" s="501">
        <f t="shared" si="0"/>
        <v>0</v>
      </c>
      <c r="V4" s="501">
        <f t="shared" si="0"/>
        <v>0</v>
      </c>
    </row>
    <row r="5" spans="1:20" ht="12" customHeight="1">
      <c r="A5" s="80">
        <v>41296</v>
      </c>
      <c r="B5" s="376" t="s">
        <v>255</v>
      </c>
      <c r="C5" s="377" t="s">
        <v>426</v>
      </c>
      <c r="D5" s="378">
        <v>2700</v>
      </c>
      <c r="E5" s="387">
        <v>5</v>
      </c>
      <c r="F5" s="380">
        <v>4388</v>
      </c>
      <c r="G5" s="381">
        <f>F5*E5</f>
        <v>21940</v>
      </c>
      <c r="H5" s="382"/>
      <c r="I5" s="375">
        <v>21940</v>
      </c>
      <c r="J5" s="380">
        <f>SUM(H5:I5)</f>
        <v>21940</v>
      </c>
      <c r="K5" s="375" t="s">
        <v>84</v>
      </c>
      <c r="L5" s="383">
        <f>E5*D5</f>
        <v>13500</v>
      </c>
      <c r="M5" s="383">
        <f>G5-L5</f>
        <v>8440</v>
      </c>
      <c r="N5" s="277">
        <f>M5/G5</f>
        <v>0.3846855059252507</v>
      </c>
      <c r="O5" s="383">
        <f>(E5*D5)/112*12</f>
        <v>1446.4285714285716</v>
      </c>
      <c r="P5" s="383">
        <f>G5/112*12</f>
        <v>2350.714285714286</v>
      </c>
      <c r="Q5" s="374">
        <f>IF(SUM(H5:I5)&gt;0,(P5-O5),0)</f>
        <v>904.2857142857142</v>
      </c>
      <c r="R5" s="374">
        <f>IF(SUM(H5:I5)&gt;0,((M5-Q5)*20/100),0)</f>
        <v>1507.1428571428573</v>
      </c>
      <c r="S5" s="385">
        <f>G5-L5-Q5</f>
        <v>7535.714285714286</v>
      </c>
      <c r="T5" s="366">
        <f>S5-R5</f>
        <v>6028.571428571429</v>
      </c>
    </row>
    <row r="6" spans="1:20" ht="12" customHeight="1">
      <c r="A6" s="80">
        <v>41296</v>
      </c>
      <c r="B6" s="376" t="s">
        <v>255</v>
      </c>
      <c r="C6" s="377" t="s">
        <v>227</v>
      </c>
      <c r="D6" s="378">
        <v>800</v>
      </c>
      <c r="E6" s="387">
        <v>3</v>
      </c>
      <c r="F6" s="380">
        <v>1300</v>
      </c>
      <c r="G6" s="381">
        <f>F6*E6</f>
        <v>3900</v>
      </c>
      <c r="H6" s="382"/>
      <c r="I6" s="375">
        <v>3900</v>
      </c>
      <c r="J6" s="380">
        <f>SUM(H6:I6)</f>
        <v>3900</v>
      </c>
      <c r="K6" s="375" t="s">
        <v>84</v>
      </c>
      <c r="L6" s="383">
        <f>E6*D6</f>
        <v>2400</v>
      </c>
      <c r="M6" s="383">
        <f>G6-L6</f>
        <v>1500</v>
      </c>
      <c r="N6" s="277">
        <f>M6/G6</f>
        <v>0.38461538461538464</v>
      </c>
      <c r="O6" s="383">
        <f>(E6*D6)/112*12</f>
        <v>257.1428571428571</v>
      </c>
      <c r="P6" s="383">
        <f>G6/112*12</f>
        <v>417.85714285714283</v>
      </c>
      <c r="Q6" s="374">
        <f>IF(SUM(H6:I6)&gt;0,(P6-O6),0)</f>
        <v>160.71428571428572</v>
      </c>
      <c r="R6" s="374">
        <f>IF(SUM(H6:I6)&gt;0,((M6-Q6)*20/100),0)</f>
        <v>267.85714285714283</v>
      </c>
      <c r="S6" s="385">
        <f>G6-L6-Q6</f>
        <v>1339.2857142857142</v>
      </c>
      <c r="T6" s="366">
        <f>S6-R6</f>
        <v>1071.4285714285713</v>
      </c>
    </row>
    <row r="7" spans="1:22" s="444" customFormat="1" ht="12" customHeight="1" outlineLevel="1">
      <c r="A7" s="433"/>
      <c r="B7" s="435" t="s">
        <v>276</v>
      </c>
      <c r="C7" s="436"/>
      <c r="D7" s="437"/>
      <c r="E7" s="438">
        <f>SUBTOTAL(9,E5:E6)</f>
        <v>8</v>
      </c>
      <c r="F7" s="439"/>
      <c r="G7" s="501">
        <f aca="true" t="shared" si="1" ref="G7:V7">SUBTOTAL(9,G5:G6)</f>
        <v>25840</v>
      </c>
      <c r="H7" s="501">
        <f t="shared" si="1"/>
        <v>0</v>
      </c>
      <c r="I7" s="501">
        <f t="shared" si="1"/>
        <v>25840</v>
      </c>
      <c r="J7" s="501">
        <f t="shared" si="1"/>
        <v>25840</v>
      </c>
      <c r="K7" s="501" t="s">
        <v>84</v>
      </c>
      <c r="L7" s="501">
        <f t="shared" si="1"/>
        <v>15900</v>
      </c>
      <c r="M7" s="501">
        <f t="shared" si="1"/>
        <v>9940</v>
      </c>
      <c r="N7" s="501">
        <f t="shared" si="1"/>
        <v>0.7693008905406353</v>
      </c>
      <c r="O7" s="501">
        <f t="shared" si="1"/>
        <v>1703.5714285714287</v>
      </c>
      <c r="P7" s="501">
        <f t="shared" si="1"/>
        <v>2768.5714285714284</v>
      </c>
      <c r="Q7" s="501">
        <f t="shared" si="1"/>
        <v>1065</v>
      </c>
      <c r="R7" s="501">
        <f t="shared" si="1"/>
        <v>1775.0000000000002</v>
      </c>
      <c r="S7" s="501">
        <f t="shared" si="1"/>
        <v>8875</v>
      </c>
      <c r="T7" s="501">
        <f t="shared" si="1"/>
        <v>7100.000000000001</v>
      </c>
      <c r="U7" s="501">
        <f t="shared" si="1"/>
        <v>0</v>
      </c>
      <c r="V7" s="501">
        <f t="shared" si="1"/>
        <v>0</v>
      </c>
    </row>
    <row r="8" spans="1:24" ht="12" customHeight="1">
      <c r="A8" s="80">
        <v>41297</v>
      </c>
      <c r="B8" s="376" t="s">
        <v>428</v>
      </c>
      <c r="C8" s="377" t="s">
        <v>427</v>
      </c>
      <c r="D8" s="378">
        <f>F8-(F8*0.2)</f>
        <v>960</v>
      </c>
      <c r="E8" s="387">
        <v>50</v>
      </c>
      <c r="F8" s="380">
        <v>1200</v>
      </c>
      <c r="G8" s="381">
        <f>F8*E8</f>
        <v>60000</v>
      </c>
      <c r="H8" s="382"/>
      <c r="I8" s="375">
        <v>60000</v>
      </c>
      <c r="J8" s="380">
        <f>SUM(H8:I8)</f>
        <v>60000</v>
      </c>
      <c r="K8" s="375" t="s">
        <v>84</v>
      </c>
      <c r="L8" s="383">
        <f>E8*D8</f>
        <v>48000</v>
      </c>
      <c r="M8" s="383">
        <f>G8-L8</f>
        <v>12000</v>
      </c>
      <c r="N8" s="277">
        <f>M8/G8</f>
        <v>0.2</v>
      </c>
      <c r="O8" s="383">
        <f>(E8*D8)/112*12</f>
        <v>5142.857142857143</v>
      </c>
      <c r="P8" s="383">
        <f>G8/112*12</f>
        <v>6428.5714285714275</v>
      </c>
      <c r="Q8" s="374">
        <f>IF(SUM(H8:I8)&gt;0,(P8-O8),0)</f>
        <v>1285.7142857142844</v>
      </c>
      <c r="R8" s="374">
        <f>IF(SUM(H8:I8)&gt;0,((M8-Q8)*20/100),0)</f>
        <v>2142.857142857143</v>
      </c>
      <c r="S8" s="385">
        <f>G8-L8-Q8</f>
        <v>10714.285714285716</v>
      </c>
      <c r="T8" s="366">
        <f>S8-R8</f>
        <v>8571.428571428572</v>
      </c>
      <c r="W8" s="383"/>
      <c r="X8" s="383"/>
    </row>
    <row r="9" spans="1:22" s="444" customFormat="1" ht="12" customHeight="1" outlineLevel="1">
      <c r="A9" s="433"/>
      <c r="B9" s="435" t="s">
        <v>561</v>
      </c>
      <c r="C9" s="436"/>
      <c r="D9" s="437"/>
      <c r="E9" s="438">
        <f>SUBTOTAL(9,E8)</f>
        <v>50</v>
      </c>
      <c r="F9" s="439"/>
      <c r="G9" s="501">
        <f aca="true" t="shared" si="2" ref="G9:V9">SUBTOTAL(9,G8)</f>
        <v>60000</v>
      </c>
      <c r="H9" s="501">
        <f t="shared" si="2"/>
        <v>0</v>
      </c>
      <c r="I9" s="501">
        <f t="shared" si="2"/>
        <v>60000</v>
      </c>
      <c r="J9" s="501">
        <f t="shared" si="2"/>
        <v>60000</v>
      </c>
      <c r="K9" s="501" t="s">
        <v>84</v>
      </c>
      <c r="L9" s="501">
        <f t="shared" si="2"/>
        <v>48000</v>
      </c>
      <c r="M9" s="501">
        <f t="shared" si="2"/>
        <v>12000</v>
      </c>
      <c r="N9" s="501">
        <f t="shared" si="2"/>
        <v>0.2</v>
      </c>
      <c r="O9" s="501">
        <f t="shared" si="2"/>
        <v>5142.857142857143</v>
      </c>
      <c r="P9" s="501">
        <f t="shared" si="2"/>
        <v>6428.5714285714275</v>
      </c>
      <c r="Q9" s="501">
        <f t="shared" si="2"/>
        <v>1285.7142857142844</v>
      </c>
      <c r="R9" s="501">
        <f t="shared" si="2"/>
        <v>2142.857142857143</v>
      </c>
      <c r="S9" s="501">
        <f t="shared" si="2"/>
        <v>10714.285714285716</v>
      </c>
      <c r="T9" s="501">
        <f t="shared" si="2"/>
        <v>8571.428571428572</v>
      </c>
      <c r="U9" s="501">
        <f t="shared" si="2"/>
        <v>0</v>
      </c>
      <c r="V9" s="501">
        <f t="shared" si="2"/>
        <v>0</v>
      </c>
    </row>
    <row r="10" spans="1:24" s="383" customFormat="1" ht="27" customHeight="1" outlineLevel="2">
      <c r="A10" s="80">
        <v>41288</v>
      </c>
      <c r="B10" s="382" t="s">
        <v>308</v>
      </c>
      <c r="C10" s="377" t="s">
        <v>144</v>
      </c>
      <c r="D10" s="378">
        <f>F10-(F10*0.2)</f>
        <v>1120</v>
      </c>
      <c r="E10" s="387">
        <v>3</v>
      </c>
      <c r="F10" s="380">
        <v>1400</v>
      </c>
      <c r="G10" s="381">
        <f>F10*E10</f>
        <v>4200</v>
      </c>
      <c r="H10" s="382">
        <v>4200</v>
      </c>
      <c r="I10" s="375"/>
      <c r="J10" s="380">
        <v>4200</v>
      </c>
      <c r="K10" s="375" t="s">
        <v>231</v>
      </c>
      <c r="L10" s="383">
        <f>E10*D10</f>
        <v>3360</v>
      </c>
      <c r="M10" s="383">
        <f>G10-L10</f>
        <v>840</v>
      </c>
      <c r="N10" s="277">
        <f>M10/G10</f>
        <v>0.2</v>
      </c>
      <c r="O10" s="383">
        <f>(E10*D10)/112*12</f>
        <v>360</v>
      </c>
      <c r="P10" s="383">
        <f>G10/112*12</f>
        <v>450</v>
      </c>
      <c r="Q10" s="374">
        <f>IF(SUM(H10:I10)&gt;0,(P10-O10),0)</f>
        <v>90</v>
      </c>
      <c r="R10" s="374">
        <f>IF(SUM(H10:I10)&gt;0,((M10-Q10)*20/100),0)</f>
        <v>150</v>
      </c>
      <c r="S10" s="385">
        <f>G10-L10-Q10</f>
        <v>750</v>
      </c>
      <c r="T10" s="366">
        <v>600</v>
      </c>
      <c r="U10" s="366"/>
      <c r="V10" s="374"/>
      <c r="W10" s="374"/>
      <c r="X10" s="374"/>
    </row>
    <row r="11" spans="1:24" s="383" customFormat="1" ht="26.25" customHeight="1" outlineLevel="2">
      <c r="A11" s="80">
        <v>41288</v>
      </c>
      <c r="B11" s="382" t="s">
        <v>308</v>
      </c>
      <c r="C11" s="384" t="s">
        <v>124</v>
      </c>
      <c r="D11" s="378">
        <f>F11-(F11*0.2)</f>
        <v>640</v>
      </c>
      <c r="E11" s="387">
        <v>3</v>
      </c>
      <c r="F11" s="380">
        <v>800</v>
      </c>
      <c r="G11" s="381">
        <f>F11*E11</f>
        <v>2400</v>
      </c>
      <c r="H11" s="382">
        <v>2400</v>
      </c>
      <c r="I11" s="375"/>
      <c r="J11" s="380">
        <v>2400</v>
      </c>
      <c r="K11" s="375" t="s">
        <v>231</v>
      </c>
      <c r="L11" s="383">
        <f>E11*D11</f>
        <v>1920</v>
      </c>
      <c r="M11" s="383">
        <f>G11-L11</f>
        <v>480</v>
      </c>
      <c r="N11" s="277">
        <f>M11/G11</f>
        <v>0.2</v>
      </c>
      <c r="O11" s="383">
        <f>(E11*D11)/112*12</f>
        <v>205.71428571428572</v>
      </c>
      <c r="P11" s="383">
        <f>G11/112*12</f>
        <v>257.1428571428571</v>
      </c>
      <c r="Q11" s="374">
        <f>IF(SUM(H11:I11)&gt;0,(P11-O11),0)</f>
        <v>51.42857142857139</v>
      </c>
      <c r="R11" s="374">
        <f>IF(SUM(H11:I11)&gt;0,((M11-Q11)*20/100),0)</f>
        <v>85.71428571428572</v>
      </c>
      <c r="S11" s="385">
        <f>G11-L11-Q11</f>
        <v>428.5714285714286</v>
      </c>
      <c r="T11" s="366">
        <v>342.8571428571429</v>
      </c>
      <c r="U11" s="366"/>
      <c r="V11" s="374"/>
      <c r="W11" s="374"/>
      <c r="X11" s="374"/>
    </row>
    <row r="12" spans="1:24" s="383" customFormat="1" ht="26.25" customHeight="1" outlineLevel="2">
      <c r="A12" s="80">
        <v>41288</v>
      </c>
      <c r="B12" s="382" t="s">
        <v>308</v>
      </c>
      <c r="C12" s="377" t="s">
        <v>402</v>
      </c>
      <c r="D12" s="378">
        <f>F12-(F12*0.2)</f>
        <v>760</v>
      </c>
      <c r="E12" s="387">
        <v>2</v>
      </c>
      <c r="F12" s="380">
        <v>950</v>
      </c>
      <c r="G12" s="381">
        <f>F12*E12</f>
        <v>1900</v>
      </c>
      <c r="H12" s="382">
        <v>1900</v>
      </c>
      <c r="I12" s="375"/>
      <c r="J12" s="380">
        <v>1900</v>
      </c>
      <c r="K12" s="375" t="s">
        <v>231</v>
      </c>
      <c r="L12" s="383">
        <f>E12*D12</f>
        <v>1520</v>
      </c>
      <c r="M12" s="383">
        <f>G12-L12</f>
        <v>380</v>
      </c>
      <c r="N12" s="277">
        <f>M12/G12</f>
        <v>0.2</v>
      </c>
      <c r="O12" s="383">
        <f>(E12*D12)/112*12</f>
        <v>162.85714285714286</v>
      </c>
      <c r="P12" s="383">
        <f>G12/112*12</f>
        <v>203.57142857142858</v>
      </c>
      <c r="Q12" s="374">
        <f>IF(SUM(H12:I12)&gt;0,(P12-O12),0)</f>
        <v>40.71428571428572</v>
      </c>
      <c r="R12" s="374">
        <f>IF(SUM(H12:I12)&gt;0,((M12-Q12)*20/100),0)</f>
        <v>67.85714285714285</v>
      </c>
      <c r="S12" s="385">
        <f>G12-L12-Q12</f>
        <v>339.2857142857143</v>
      </c>
      <c r="T12" s="366">
        <v>271.42857142857144</v>
      </c>
      <c r="U12" s="366"/>
      <c r="V12" s="374"/>
      <c r="W12" s="374"/>
      <c r="X12" s="374"/>
    </row>
    <row r="13" spans="1:24" s="442" customFormat="1" ht="26.25" customHeight="1" outlineLevel="1">
      <c r="A13" s="433"/>
      <c r="B13" s="440" t="s">
        <v>341</v>
      </c>
      <c r="C13" s="436"/>
      <c r="D13" s="437">
        <f>SUBTOTAL(9,D10:D12)</f>
        <v>2520</v>
      </c>
      <c r="E13" s="473">
        <f>SUBTOTAL(9,E10:E12)</f>
        <v>8</v>
      </c>
      <c r="F13" s="439"/>
      <c r="G13" s="440">
        <f>SUBTOTAL(9,G10:G12)</f>
        <v>8500</v>
      </c>
      <c r="H13" s="441">
        <f>SUBTOTAL(9,H10:H12)</f>
        <v>8500</v>
      </c>
      <c r="I13" s="434">
        <f>SUBTOTAL(9,I10:I12)</f>
        <v>0</v>
      </c>
      <c r="J13" s="439">
        <v>8500</v>
      </c>
      <c r="K13" s="434" t="s">
        <v>231</v>
      </c>
      <c r="L13" s="442">
        <f>SUBTOTAL(9,L10:L12)</f>
        <v>6800</v>
      </c>
      <c r="M13" s="442">
        <f>SUBTOTAL(9,M10:M12)</f>
        <v>1700</v>
      </c>
      <c r="N13" s="443"/>
      <c r="Q13" s="444">
        <f>SUBTOTAL(9,Q10:Q12)</f>
        <v>182.1428571428571</v>
      </c>
      <c r="R13" s="444">
        <f>SUBTOTAL(9,R10:R12)</f>
        <v>303.57142857142856</v>
      </c>
      <c r="S13" s="445">
        <f>SUBTOTAL(9,S10:S12)</f>
        <v>1517.857142857143</v>
      </c>
      <c r="T13" s="446">
        <v>1214.2857142857142</v>
      </c>
      <c r="U13" s="446"/>
      <c r="V13" s="444"/>
      <c r="W13" s="444"/>
      <c r="X13" s="444"/>
    </row>
    <row r="14" spans="1:22" s="383" customFormat="1" ht="26.25" customHeight="1" outlineLevel="2">
      <c r="A14" s="224">
        <v>41291</v>
      </c>
      <c r="B14" s="429" t="s">
        <v>363</v>
      </c>
      <c r="C14" s="377" t="s">
        <v>361</v>
      </c>
      <c r="D14" s="378">
        <v>260</v>
      </c>
      <c r="E14" s="379">
        <v>24</v>
      </c>
      <c r="F14" s="380">
        <v>410</v>
      </c>
      <c r="G14" s="381">
        <f>F14*E14</f>
        <v>9840</v>
      </c>
      <c r="H14" s="382">
        <v>9840</v>
      </c>
      <c r="I14" s="375"/>
      <c r="J14" s="380">
        <v>9840</v>
      </c>
      <c r="K14" s="375" t="s">
        <v>231</v>
      </c>
      <c r="L14" s="383">
        <f>E14*D14</f>
        <v>6240</v>
      </c>
      <c r="M14" s="383">
        <f>G14-L14</f>
        <v>3600</v>
      </c>
      <c r="N14" s="277">
        <f>M14/G14</f>
        <v>0.36585365853658536</v>
      </c>
      <c r="O14" s="383">
        <f>(E14*D14)/112*12</f>
        <v>668.5714285714286</v>
      </c>
      <c r="P14" s="383">
        <f>G14/112*12</f>
        <v>1054.2857142857142</v>
      </c>
      <c r="Q14" s="374">
        <f>IF(SUM(H14:I14)&gt;0,(P14-O14),0)</f>
        <v>385.71428571428567</v>
      </c>
      <c r="R14" s="374">
        <f>IF(SUM(H14:I14)&gt;0,((M14-Q14)*20/100),0)</f>
        <v>642.8571428571428</v>
      </c>
      <c r="S14" s="385">
        <f>G14-L14-Q14</f>
        <v>3214.285714285714</v>
      </c>
      <c r="T14" s="366">
        <v>3034.2857142857147</v>
      </c>
      <c r="U14" s="366"/>
      <c r="V14" s="374"/>
    </row>
    <row r="15" spans="1:22" s="442" customFormat="1" ht="26.25" customHeight="1" outlineLevel="1">
      <c r="A15" s="451"/>
      <c r="B15" s="589" t="s">
        <v>368</v>
      </c>
      <c r="C15" s="436"/>
      <c r="D15" s="437">
        <f>SUBTOTAL(9,D14:D14)</f>
        <v>260</v>
      </c>
      <c r="E15" s="474">
        <f>SUBTOTAL(9,E14:E14)</f>
        <v>24</v>
      </c>
      <c r="F15" s="439"/>
      <c r="G15" s="440">
        <f>SUBTOTAL(9,G14:G14)</f>
        <v>9840</v>
      </c>
      <c r="H15" s="441">
        <f>SUBTOTAL(9,H14:H14)</f>
        <v>9840</v>
      </c>
      <c r="I15" s="434">
        <f>SUBTOTAL(9,I14:I14)</f>
        <v>0</v>
      </c>
      <c r="J15" s="439">
        <v>9840</v>
      </c>
      <c r="K15" s="375" t="s">
        <v>231</v>
      </c>
      <c r="L15" s="442">
        <f>SUBTOTAL(9,L14:L14)</f>
        <v>6240</v>
      </c>
      <c r="M15" s="442">
        <f>SUBTOTAL(9,M14:M14)</f>
        <v>3600</v>
      </c>
      <c r="N15" s="443"/>
      <c r="Q15" s="444">
        <f>SUBTOTAL(9,Q14:Q14)</f>
        <v>385.71428571428567</v>
      </c>
      <c r="R15" s="444">
        <f>SUBTOTAL(9,R14:R14)</f>
        <v>642.8571428571428</v>
      </c>
      <c r="S15" s="445">
        <f>SUBTOTAL(9,S14:S14)</f>
        <v>3214.285714285714</v>
      </c>
      <c r="T15" s="446">
        <v>3034.2857142857147</v>
      </c>
      <c r="U15" s="446"/>
      <c r="V15" s="444"/>
    </row>
    <row r="16" spans="1:22" s="383" customFormat="1" ht="26.25" customHeight="1" outlineLevel="2">
      <c r="A16" s="80">
        <v>41292</v>
      </c>
      <c r="B16" s="429" t="s">
        <v>362</v>
      </c>
      <c r="C16" s="377" t="s">
        <v>361</v>
      </c>
      <c r="D16" s="378">
        <v>260</v>
      </c>
      <c r="E16" s="379">
        <v>16</v>
      </c>
      <c r="F16" s="380">
        <v>295</v>
      </c>
      <c r="G16" s="381">
        <f>F16*E16</f>
        <v>4720</v>
      </c>
      <c r="H16" s="382"/>
      <c r="I16" s="375"/>
      <c r="J16" s="380">
        <v>4720</v>
      </c>
      <c r="K16" s="375" t="s">
        <v>338</v>
      </c>
      <c r="L16" s="383">
        <f>E16*D16</f>
        <v>4160</v>
      </c>
      <c r="M16" s="383">
        <f>G16-L16</f>
        <v>560</v>
      </c>
      <c r="N16" s="277">
        <f>M16/G16</f>
        <v>0.11864406779661017</v>
      </c>
      <c r="O16" s="383">
        <f>(E16*D16)/112*12</f>
        <v>445.7142857142858</v>
      </c>
      <c r="P16" s="383">
        <f>G16/112*12</f>
        <v>505.7142857142858</v>
      </c>
      <c r="Q16" s="374">
        <f>IF(SUM(H16:I16)&gt;0,(P16-O16),0)</f>
        <v>0</v>
      </c>
      <c r="R16" s="374">
        <f>IF(SUM(H16:I16)&gt;0,((M16-Q16)*20/100),0)</f>
        <v>0</v>
      </c>
      <c r="S16" s="385">
        <f>G16-L16-Q16</f>
        <v>560</v>
      </c>
      <c r="T16" s="366">
        <v>992</v>
      </c>
      <c r="U16" s="366"/>
      <c r="V16" s="374"/>
    </row>
    <row r="17" spans="1:22" s="442" customFormat="1" ht="26.25" customHeight="1" outlineLevel="1">
      <c r="A17" s="433"/>
      <c r="B17" s="589" t="s">
        <v>470</v>
      </c>
      <c r="C17" s="436"/>
      <c r="D17" s="437">
        <f>SUBTOTAL(9,D16:D16)</f>
        <v>260</v>
      </c>
      <c r="E17" s="474">
        <f>SUBTOTAL(9,E16:E16)</f>
        <v>16</v>
      </c>
      <c r="F17" s="439"/>
      <c r="G17" s="440">
        <f>SUBTOTAL(9,G16:G16)</f>
        <v>4720</v>
      </c>
      <c r="H17" s="441">
        <f>SUBTOTAL(9,H16:H16)</f>
        <v>0</v>
      </c>
      <c r="I17" s="434">
        <f>SUBTOTAL(9,I16:I16)</f>
        <v>0</v>
      </c>
      <c r="J17" s="439">
        <v>4720</v>
      </c>
      <c r="K17" s="434" t="s">
        <v>338</v>
      </c>
      <c r="L17" s="442">
        <f>SUBTOTAL(9,L16:L16)</f>
        <v>4160</v>
      </c>
      <c r="M17" s="442">
        <f>SUBTOTAL(9,M16:M16)</f>
        <v>560</v>
      </c>
      <c r="N17" s="443"/>
      <c r="Q17" s="444">
        <f>SUBTOTAL(9,Q16:Q16)</f>
        <v>0</v>
      </c>
      <c r="R17" s="444">
        <f>SUBTOTAL(9,R16:R16)</f>
        <v>0</v>
      </c>
      <c r="S17" s="445">
        <f>SUBTOTAL(9,S16:S16)</f>
        <v>560</v>
      </c>
      <c r="T17" s="446">
        <v>992</v>
      </c>
      <c r="U17" s="446"/>
      <c r="V17" s="444"/>
    </row>
    <row r="18" spans="1:24" s="383" customFormat="1" ht="26.25" customHeight="1" outlineLevel="2">
      <c r="A18" s="80">
        <v>41284</v>
      </c>
      <c r="B18" s="376" t="s">
        <v>302</v>
      </c>
      <c r="C18" s="468" t="s">
        <v>360</v>
      </c>
      <c r="D18" s="378">
        <v>29</v>
      </c>
      <c r="E18" s="387">
        <v>50</v>
      </c>
      <c r="F18" s="380">
        <v>44</v>
      </c>
      <c r="G18" s="381">
        <f>F18*E18</f>
        <v>2200</v>
      </c>
      <c r="H18" s="382"/>
      <c r="I18" s="375"/>
      <c r="J18" s="380">
        <v>2200</v>
      </c>
      <c r="K18" s="375" t="s">
        <v>338</v>
      </c>
      <c r="L18" s="383">
        <f>E18*D18</f>
        <v>1450</v>
      </c>
      <c r="M18" s="383">
        <f>G18-L18</f>
        <v>750</v>
      </c>
      <c r="N18" s="277">
        <f>M18/G18</f>
        <v>0.3409090909090909</v>
      </c>
      <c r="O18" s="383">
        <f>(E18*D18)/112*12</f>
        <v>155.35714285714286</v>
      </c>
      <c r="P18" s="383">
        <f>G18/112*12</f>
        <v>235.71428571428572</v>
      </c>
      <c r="Q18" s="374">
        <f>IF(SUM(H18:I18)&gt;0,(P18-O18),0)</f>
        <v>0</v>
      </c>
      <c r="R18" s="374">
        <f>IF(SUM(H18:I18)&gt;0,((M18-Q18)*20/100),0)</f>
        <v>0</v>
      </c>
      <c r="S18" s="385">
        <f>G18-L18-Q18</f>
        <v>750</v>
      </c>
      <c r="T18" s="366">
        <v>750</v>
      </c>
      <c r="U18" s="366"/>
      <c r="V18" s="374"/>
      <c r="W18" s="374"/>
      <c r="X18" s="374"/>
    </row>
    <row r="19" spans="1:24" s="383" customFormat="1" ht="26.25" customHeight="1" outlineLevel="2">
      <c r="A19" s="80">
        <v>41284</v>
      </c>
      <c r="B19" s="376" t="s">
        <v>302</v>
      </c>
      <c r="C19" s="384" t="s">
        <v>406</v>
      </c>
      <c r="D19" s="378">
        <v>450</v>
      </c>
      <c r="E19" s="387">
        <v>18</v>
      </c>
      <c r="F19" s="380">
        <v>585</v>
      </c>
      <c r="G19" s="381">
        <f>F19*E19</f>
        <v>10530</v>
      </c>
      <c r="H19" s="382"/>
      <c r="I19" s="375"/>
      <c r="J19" s="380">
        <v>10530</v>
      </c>
      <c r="K19" s="375" t="s">
        <v>338</v>
      </c>
      <c r="L19" s="383">
        <f>E19*D19</f>
        <v>8100</v>
      </c>
      <c r="M19" s="383">
        <f>G19-L19</f>
        <v>2430</v>
      </c>
      <c r="N19" s="277">
        <f>M19/G19</f>
        <v>0.23076923076923078</v>
      </c>
      <c r="O19" s="383">
        <f>(E19*D19)/112*12</f>
        <v>867.8571428571429</v>
      </c>
      <c r="P19" s="383">
        <f>G19/112*12</f>
        <v>1128.2142857142858</v>
      </c>
      <c r="Q19" s="374">
        <f>IF(SUM(H19:I19)&gt;0,(P19-O19),0)</f>
        <v>0</v>
      </c>
      <c r="R19" s="374">
        <f>IF(SUM(H19:I19)&gt;0,((M19-Q19)*20/100),0)</f>
        <v>0</v>
      </c>
      <c r="S19" s="385">
        <f>G19-L19-Q19</f>
        <v>2430</v>
      </c>
      <c r="T19" s="366">
        <v>2430</v>
      </c>
      <c r="U19" s="366"/>
      <c r="V19" s="374"/>
      <c r="W19" s="374"/>
      <c r="X19" s="374"/>
    </row>
    <row r="20" spans="1:24" s="442" customFormat="1" ht="26.25" customHeight="1" outlineLevel="1">
      <c r="A20" s="433"/>
      <c r="B20" s="447" t="s">
        <v>319</v>
      </c>
      <c r="C20" s="448"/>
      <c r="D20" s="437">
        <f>SUBTOTAL(9,D18:D19)</f>
        <v>479</v>
      </c>
      <c r="E20" s="473">
        <f>SUBTOTAL(9,E18:E19)</f>
        <v>68</v>
      </c>
      <c r="F20" s="439"/>
      <c r="G20" s="440">
        <f>SUBTOTAL(9,G18:G19)</f>
        <v>12730</v>
      </c>
      <c r="H20" s="441">
        <f>SUBTOTAL(9,H18:H19)</f>
        <v>0</v>
      </c>
      <c r="I20" s="434">
        <f>SUBTOTAL(9,I18:I19)</f>
        <v>0</v>
      </c>
      <c r="J20" s="439">
        <v>12730</v>
      </c>
      <c r="K20" s="434" t="s">
        <v>338</v>
      </c>
      <c r="L20" s="442">
        <f>SUBTOTAL(9,L18:L19)</f>
        <v>9550</v>
      </c>
      <c r="M20" s="442">
        <f>SUBTOTAL(9,M18:M19)</f>
        <v>3180</v>
      </c>
      <c r="N20" s="443"/>
      <c r="Q20" s="444">
        <f>SUBTOTAL(9,Q18:Q19)</f>
        <v>0</v>
      </c>
      <c r="R20" s="444">
        <f>SUBTOTAL(9,R18:R19)</f>
        <v>0</v>
      </c>
      <c r="S20" s="445">
        <f>SUBTOTAL(9,S18:S19)</f>
        <v>3180</v>
      </c>
      <c r="T20" s="446">
        <v>3180</v>
      </c>
      <c r="U20" s="446"/>
      <c r="V20" s="444"/>
      <c r="W20" s="444"/>
      <c r="X20" s="444"/>
    </row>
    <row r="21" spans="1:20" ht="26.25" customHeight="1">
      <c r="A21" s="224">
        <v>41284</v>
      </c>
      <c r="B21" s="429" t="s">
        <v>430</v>
      </c>
      <c r="C21" s="377" t="s">
        <v>224</v>
      </c>
      <c r="D21" s="378">
        <v>1200</v>
      </c>
      <c r="E21" s="379">
        <v>5</v>
      </c>
      <c r="F21" s="380">
        <v>3500</v>
      </c>
      <c r="G21" s="381">
        <f>F21*E21</f>
        <v>17500</v>
      </c>
      <c r="H21" s="382"/>
      <c r="I21" s="375">
        <v>17500</v>
      </c>
      <c r="J21" s="380">
        <f>SUM(H21:I21)</f>
        <v>17500</v>
      </c>
      <c r="K21" s="375" t="s">
        <v>338</v>
      </c>
      <c r="L21" s="383">
        <f>E21*D21</f>
        <v>6000</v>
      </c>
      <c r="M21" s="383">
        <f>G21-L21</f>
        <v>11500</v>
      </c>
      <c r="N21" s="277">
        <f>M21/G21</f>
        <v>0.6571428571428571</v>
      </c>
      <c r="O21" s="383">
        <f>(E21*D21)/112*12</f>
        <v>642.8571428571429</v>
      </c>
      <c r="P21" s="383">
        <f>G21/112*12</f>
        <v>1875</v>
      </c>
      <c r="Q21" s="374">
        <f>IF(SUM(H21:I21)&gt;0,(P21-O21),0)</f>
        <v>1232.142857142857</v>
      </c>
      <c r="R21" s="374">
        <f>IF(SUM(H21:I21)&gt;0,((M21-Q21)*20/100),0)</f>
        <v>2053.571428571429</v>
      </c>
      <c r="S21" s="385">
        <f>G21-L21-Q21</f>
        <v>10267.857142857143</v>
      </c>
      <c r="T21" s="366">
        <f>S21-R21</f>
        <v>8214.285714285714</v>
      </c>
    </row>
    <row r="22" spans="1:21" s="444" customFormat="1" ht="25.5" outlineLevel="1">
      <c r="A22" s="433"/>
      <c r="B22" s="447" t="s">
        <v>235</v>
      </c>
      <c r="C22" s="448"/>
      <c r="D22" s="437">
        <f>SUBTOTAL(9,D21:D21)</f>
        <v>1200</v>
      </c>
      <c r="E22" s="473">
        <f>SUBTOTAL(9,E21:E21)</f>
        <v>5</v>
      </c>
      <c r="F22" s="439"/>
      <c r="G22" s="440">
        <f>SUBTOTAL(9,G21:G21)</f>
        <v>17500</v>
      </c>
      <c r="H22" s="441">
        <f>SUBTOTAL(9,H21:H21)</f>
        <v>0</v>
      </c>
      <c r="I22" s="434">
        <f>SUBTOTAL(9,I21:I21)</f>
        <v>17500</v>
      </c>
      <c r="J22" s="439">
        <v>2000</v>
      </c>
      <c r="K22" s="434" t="s">
        <v>338</v>
      </c>
      <c r="L22" s="442">
        <f>SUBTOTAL(9,L21:L21)</f>
        <v>6000</v>
      </c>
      <c r="M22" s="442">
        <f>SUBTOTAL(9,M21:M21)</f>
        <v>11500</v>
      </c>
      <c r="N22" s="443"/>
      <c r="O22" s="442"/>
      <c r="P22" s="442"/>
      <c r="Q22" s="444">
        <f>SUBTOTAL(9,Q21:Q21)</f>
        <v>1232.142857142857</v>
      </c>
      <c r="R22" s="444">
        <f>SUBTOTAL(9,R21:R21)</f>
        <v>2053.571428571429</v>
      </c>
      <c r="S22" s="445">
        <f>SUBTOTAL(9,S21:S21)</f>
        <v>10267.857142857143</v>
      </c>
      <c r="T22" s="446">
        <v>400</v>
      </c>
      <c r="U22" s="446"/>
    </row>
    <row r="23" spans="1:20" ht="23.25" customHeight="1">
      <c r="A23" s="80">
        <v>41257</v>
      </c>
      <c r="B23" s="376" t="s">
        <v>378</v>
      </c>
      <c r="C23" s="404" t="s">
        <v>375</v>
      </c>
      <c r="D23" s="378">
        <v>640</v>
      </c>
      <c r="E23" s="387">
        <v>2</v>
      </c>
      <c r="F23" s="380">
        <v>1200</v>
      </c>
      <c r="G23" s="381">
        <f>F23*E23</f>
        <v>2400</v>
      </c>
      <c r="H23" s="382"/>
      <c r="I23" s="375">
        <v>2400</v>
      </c>
      <c r="J23" s="380">
        <f>SUM(H23:I23)</f>
        <v>2400</v>
      </c>
      <c r="K23" s="375" t="s">
        <v>338</v>
      </c>
      <c r="L23" s="383">
        <f>E23*D23</f>
        <v>1280</v>
      </c>
      <c r="M23" s="383">
        <f>G23-L23</f>
        <v>1120</v>
      </c>
      <c r="N23" s="277">
        <f>M23/G23</f>
        <v>0.4666666666666667</v>
      </c>
      <c r="O23" s="383">
        <f>(E23*D23)/112*12</f>
        <v>137.14285714285714</v>
      </c>
      <c r="P23" s="383">
        <f>G23/112*12</f>
        <v>257.1428571428571</v>
      </c>
      <c r="Q23" s="374">
        <f>IF(SUM(H23:I23)&gt;0,(P23-O23),0)</f>
        <v>119.99999999999997</v>
      </c>
      <c r="R23" s="374">
        <f>IF(SUM(H23:I23)&gt;0,((M23-Q23)*20/100),0)</f>
        <v>200</v>
      </c>
      <c r="S23" s="385">
        <f>G23-L23-Q23</f>
        <v>1000</v>
      </c>
      <c r="T23" s="366">
        <f>S23-R23</f>
        <v>800</v>
      </c>
    </row>
    <row r="24" spans="1:21" s="444" customFormat="1" ht="12.75" outlineLevel="1">
      <c r="A24" s="433"/>
      <c r="B24" s="447" t="s">
        <v>567</v>
      </c>
      <c r="C24" s="448"/>
      <c r="D24" s="437">
        <f>SUBTOTAL(9,D23:D23)</f>
        <v>640</v>
      </c>
      <c r="E24" s="473">
        <f>SUBTOTAL(9,E23:E23)</f>
        <v>2</v>
      </c>
      <c r="F24" s="439"/>
      <c r="G24" s="440">
        <f>SUBTOTAL(9,G23:G23)</f>
        <v>2400</v>
      </c>
      <c r="H24" s="441">
        <f>SUBTOTAL(9,H23:H23)</f>
        <v>0</v>
      </c>
      <c r="I24" s="434">
        <f>SUBTOTAL(9,I23:I23)</f>
        <v>2400</v>
      </c>
      <c r="J24" s="439">
        <v>2000</v>
      </c>
      <c r="K24" s="434" t="s">
        <v>338</v>
      </c>
      <c r="L24" s="442">
        <f>SUBTOTAL(9,L23:L23)</f>
        <v>1280</v>
      </c>
      <c r="M24" s="442">
        <f>SUBTOTAL(9,M23:M23)</f>
        <v>1120</v>
      </c>
      <c r="N24" s="443"/>
      <c r="O24" s="442"/>
      <c r="P24" s="442"/>
      <c r="Q24" s="444">
        <f>SUBTOTAL(9,Q23:Q23)</f>
        <v>119.99999999999997</v>
      </c>
      <c r="R24" s="444">
        <f>SUBTOTAL(9,R23:R23)</f>
        <v>200</v>
      </c>
      <c r="S24" s="445">
        <f>SUBTOTAL(9,S23:S23)</f>
        <v>1000</v>
      </c>
      <c r="T24" s="446">
        <v>400</v>
      </c>
      <c r="U24" s="446"/>
    </row>
    <row r="25" spans="1:20" ht="24" outlineLevel="2">
      <c r="A25" s="80">
        <v>41282</v>
      </c>
      <c r="B25" s="376" t="s">
        <v>404</v>
      </c>
      <c r="C25" s="384" t="s">
        <v>153</v>
      </c>
      <c r="D25" s="378">
        <v>160</v>
      </c>
      <c r="E25" s="387">
        <v>10</v>
      </c>
      <c r="F25" s="380">
        <v>200</v>
      </c>
      <c r="G25" s="381">
        <f>F25*E25</f>
        <v>2000</v>
      </c>
      <c r="H25" s="382"/>
      <c r="I25" s="375"/>
      <c r="J25" s="380">
        <v>2000</v>
      </c>
      <c r="K25" s="375" t="s">
        <v>338</v>
      </c>
      <c r="L25" s="383">
        <f>E25*D25</f>
        <v>1600</v>
      </c>
      <c r="M25" s="383">
        <f>G25-L25</f>
        <v>400</v>
      </c>
      <c r="N25" s="277">
        <f>M25/G25</f>
        <v>0.2</v>
      </c>
      <c r="O25" s="383">
        <f>(E25*D25)/112*12</f>
        <v>171.42857142857144</v>
      </c>
      <c r="P25" s="383">
        <f>G25/112*12</f>
        <v>214.28571428571428</v>
      </c>
      <c r="Q25" s="374">
        <f>IF(SUM(H25:I25)&gt;0,(P25-O25),0)</f>
        <v>0</v>
      </c>
      <c r="R25" s="374">
        <f>IF(SUM(H25:I25)&gt;0,((M25-Q25)*20/100),0)</f>
        <v>0</v>
      </c>
      <c r="S25" s="385">
        <f>G25-L25-Q25</f>
        <v>400</v>
      </c>
      <c r="T25" s="366">
        <v>400</v>
      </c>
    </row>
    <row r="26" spans="1:21" s="444" customFormat="1" ht="12.75" outlineLevel="1">
      <c r="A26" s="433"/>
      <c r="B26" s="447" t="s">
        <v>471</v>
      </c>
      <c r="C26" s="448"/>
      <c r="D26" s="437">
        <f>SUBTOTAL(9,D25:D25)</f>
        <v>160</v>
      </c>
      <c r="E26" s="473">
        <f>SUBTOTAL(9,E25:E25)</f>
        <v>10</v>
      </c>
      <c r="F26" s="439"/>
      <c r="G26" s="440">
        <f>SUBTOTAL(9,G25:G25)</f>
        <v>2000</v>
      </c>
      <c r="H26" s="441">
        <f>SUBTOTAL(9,H25:H25)</f>
        <v>0</v>
      </c>
      <c r="I26" s="434">
        <f>SUBTOTAL(9,I25:I25)</f>
        <v>0</v>
      </c>
      <c r="J26" s="439">
        <v>2000</v>
      </c>
      <c r="K26" s="434" t="s">
        <v>338</v>
      </c>
      <c r="L26" s="442">
        <f>SUBTOTAL(9,L25:L25)</f>
        <v>1600</v>
      </c>
      <c r="M26" s="442">
        <f>SUBTOTAL(9,M25:M25)</f>
        <v>400</v>
      </c>
      <c r="N26" s="443"/>
      <c r="O26" s="442"/>
      <c r="P26" s="442"/>
      <c r="Q26" s="444">
        <f>SUBTOTAL(9,Q25:Q25)</f>
        <v>0</v>
      </c>
      <c r="R26" s="444">
        <f>SUBTOTAL(9,R25:R25)</f>
        <v>0</v>
      </c>
      <c r="S26" s="445">
        <f>SUBTOTAL(9,S25:S25)</f>
        <v>400</v>
      </c>
      <c r="T26" s="446">
        <v>400</v>
      </c>
      <c r="U26" s="446"/>
    </row>
    <row r="27" spans="1:20" ht="24" customHeight="1" outlineLevel="2">
      <c r="A27" s="80">
        <v>41284</v>
      </c>
      <c r="B27" s="376" t="s">
        <v>407</v>
      </c>
      <c r="C27" s="384" t="s">
        <v>153</v>
      </c>
      <c r="D27" s="378">
        <v>160</v>
      </c>
      <c r="E27" s="387">
        <v>13</v>
      </c>
      <c r="F27" s="380">
        <v>200</v>
      </c>
      <c r="G27" s="381">
        <f>F27*E27</f>
        <v>2600</v>
      </c>
      <c r="H27" s="382"/>
      <c r="I27" s="375"/>
      <c r="J27" s="380">
        <v>2600</v>
      </c>
      <c r="K27" s="375" t="s">
        <v>338</v>
      </c>
      <c r="L27" s="383">
        <f>E27*D27</f>
        <v>2080</v>
      </c>
      <c r="M27" s="383">
        <f>G27-L27</f>
        <v>520</v>
      </c>
      <c r="N27" s="277">
        <f>M27/G27</f>
        <v>0.2</v>
      </c>
      <c r="O27" s="383">
        <f>(E27*D27)/112*12</f>
        <v>222.8571428571429</v>
      </c>
      <c r="P27" s="383">
        <f>G27/112*12</f>
        <v>278.57142857142856</v>
      </c>
      <c r="Q27" s="374">
        <f>IF(SUM(H27:I27)&gt;0,(P27-O27),0)</f>
        <v>0</v>
      </c>
      <c r="R27" s="374">
        <f>IF(SUM(H27:I27)&gt;0,((M27-Q27)*20/100),0)</f>
        <v>0</v>
      </c>
      <c r="S27" s="385">
        <f>G27-L27-Q27</f>
        <v>520</v>
      </c>
      <c r="T27" s="366">
        <v>520</v>
      </c>
    </row>
    <row r="28" spans="1:21" s="444" customFormat="1" ht="24" customHeight="1" outlineLevel="1">
      <c r="A28" s="433"/>
      <c r="B28" s="447" t="s">
        <v>472</v>
      </c>
      <c r="C28" s="448"/>
      <c r="D28" s="437">
        <f>SUBTOTAL(9,D27:D27)</f>
        <v>160</v>
      </c>
      <c r="E28" s="473">
        <f>SUBTOTAL(9,E27:E27)</f>
        <v>13</v>
      </c>
      <c r="F28" s="439"/>
      <c r="G28" s="440">
        <f>SUBTOTAL(9,G27:G27)</f>
        <v>2600</v>
      </c>
      <c r="H28" s="441">
        <f>SUBTOTAL(9,H27:H27)</f>
        <v>0</v>
      </c>
      <c r="I28" s="434">
        <f>SUBTOTAL(9,I27:I27)</f>
        <v>0</v>
      </c>
      <c r="J28" s="439">
        <v>2600</v>
      </c>
      <c r="K28" s="434" t="s">
        <v>338</v>
      </c>
      <c r="L28" s="442">
        <f>SUBTOTAL(9,L27:L27)</f>
        <v>2080</v>
      </c>
      <c r="M28" s="442">
        <f>SUBTOTAL(9,M27:M27)</f>
        <v>520</v>
      </c>
      <c r="N28" s="443"/>
      <c r="O28" s="442"/>
      <c r="P28" s="442"/>
      <c r="Q28" s="444">
        <f>SUBTOTAL(9,Q27:Q27)</f>
        <v>0</v>
      </c>
      <c r="R28" s="444">
        <f>SUBTOTAL(9,R27:R27)</f>
        <v>0</v>
      </c>
      <c r="S28" s="445">
        <f>SUBTOTAL(9,S27:S27)</f>
        <v>520</v>
      </c>
      <c r="T28" s="446">
        <v>520</v>
      </c>
      <c r="U28" s="446"/>
    </row>
    <row r="29" spans="1:20" ht="26.25" customHeight="1" outlineLevel="2">
      <c r="A29" s="80">
        <v>41296</v>
      </c>
      <c r="B29" s="428" t="s">
        <v>364</v>
      </c>
      <c r="C29" s="377" t="s">
        <v>365</v>
      </c>
      <c r="D29" s="378">
        <v>150</v>
      </c>
      <c r="E29" s="432">
        <v>18</v>
      </c>
      <c r="F29" s="380">
        <v>250</v>
      </c>
      <c r="G29" s="381">
        <f>F29*E29</f>
        <v>4500</v>
      </c>
      <c r="H29" s="382"/>
      <c r="I29" s="375"/>
      <c r="J29" s="380">
        <v>4500</v>
      </c>
      <c r="K29" s="375" t="s">
        <v>231</v>
      </c>
      <c r="L29" s="383">
        <f>E29*D29</f>
        <v>2700</v>
      </c>
      <c r="M29" s="383">
        <f>G29-L29</f>
        <v>1800</v>
      </c>
      <c r="N29" s="277">
        <f>M29/G29</f>
        <v>0.4</v>
      </c>
      <c r="O29" s="383">
        <f>(E29*D29)/112*12</f>
        <v>289.2857142857143</v>
      </c>
      <c r="P29" s="383">
        <f>G29/112*12</f>
        <v>482.14285714285717</v>
      </c>
      <c r="Q29" s="374">
        <f>IF(SUM(H29:I29)&gt;0,(P29-O29),0)</f>
        <v>0</v>
      </c>
      <c r="R29" s="374">
        <f>IF(SUM(H29:I29)&gt;0,((M29-Q29)*20/100),0)</f>
        <v>0</v>
      </c>
      <c r="S29" s="385">
        <f>G29-L29-Q29</f>
        <v>1800</v>
      </c>
      <c r="T29" s="366">
        <v>2790</v>
      </c>
    </row>
    <row r="30" spans="1:21" s="444" customFormat="1" ht="14.25" customHeight="1" outlineLevel="1">
      <c r="A30" s="433"/>
      <c r="B30" s="450" t="s">
        <v>386</v>
      </c>
      <c r="C30" s="436"/>
      <c r="D30" s="437">
        <f>SUBTOTAL(9,D29:D29)</f>
        <v>150</v>
      </c>
      <c r="E30" s="475">
        <f>SUBTOTAL(9,E29:E29)</f>
        <v>18</v>
      </c>
      <c r="F30" s="439"/>
      <c r="G30" s="440">
        <f>SUBTOTAL(9,G29:G29)</f>
        <v>4500</v>
      </c>
      <c r="H30" s="441">
        <f>SUBTOTAL(9,H29:H29)</f>
        <v>0</v>
      </c>
      <c r="I30" s="434">
        <f>SUBTOTAL(9,I29:I29)</f>
        <v>0</v>
      </c>
      <c r="J30" s="439">
        <v>4500</v>
      </c>
      <c r="K30" s="434" t="s">
        <v>231</v>
      </c>
      <c r="L30" s="442">
        <f>SUBTOTAL(9,L29:L29)</f>
        <v>2700</v>
      </c>
      <c r="M30" s="442">
        <f>SUBTOTAL(9,M29:M29)</f>
        <v>1800</v>
      </c>
      <c r="N30" s="443"/>
      <c r="O30" s="442"/>
      <c r="P30" s="442"/>
      <c r="Q30" s="444">
        <f>SUBTOTAL(9,Q29:Q29)</f>
        <v>0</v>
      </c>
      <c r="R30" s="444">
        <f>SUBTOTAL(9,R29:R29)</f>
        <v>0</v>
      </c>
      <c r="S30" s="445">
        <f>SUBTOTAL(9,S29:S29)</f>
        <v>1800</v>
      </c>
      <c r="T30" s="446">
        <v>2790</v>
      </c>
      <c r="U30" s="446"/>
    </row>
    <row r="31" spans="1:20" ht="22.5" customHeight="1" outlineLevel="2">
      <c r="A31" s="80">
        <v>41289</v>
      </c>
      <c r="B31" s="428" t="s">
        <v>376</v>
      </c>
      <c r="C31" s="377" t="s">
        <v>365</v>
      </c>
      <c r="D31" s="378">
        <v>150</v>
      </c>
      <c r="E31" s="432">
        <v>180</v>
      </c>
      <c r="F31" s="380">
        <v>160</v>
      </c>
      <c r="G31" s="381">
        <f>F31*E31</f>
        <v>28800</v>
      </c>
      <c r="H31" s="382"/>
      <c r="I31" s="375">
        <v>28800</v>
      </c>
      <c r="J31" s="380">
        <v>28800</v>
      </c>
      <c r="K31" s="375" t="s">
        <v>231</v>
      </c>
      <c r="L31" s="383">
        <f>E31*D31</f>
        <v>27000</v>
      </c>
      <c r="M31" s="383">
        <f>G31-L31</f>
        <v>1800</v>
      </c>
      <c r="N31" s="277">
        <f>M31/G31</f>
        <v>0.0625</v>
      </c>
      <c r="O31" s="383">
        <f>(E31*D31)/112*12</f>
        <v>2892.857142857143</v>
      </c>
      <c r="P31" s="383">
        <f>G31/112*12</f>
        <v>3085.7142857142862</v>
      </c>
      <c r="Q31" s="374">
        <f>IF(SUM(H31:I31)&gt;0,(P31-O31),0)</f>
        <v>192.85714285714312</v>
      </c>
      <c r="R31" s="374">
        <f>IF(SUM(H31:I31)&gt;0,((M31-Q31)*20/100),0)</f>
        <v>321.4285714285714</v>
      </c>
      <c r="S31" s="385">
        <f>G31-L31-Q31</f>
        <v>1607.1428571428569</v>
      </c>
      <c r="T31" s="366">
        <v>8357.142857142857</v>
      </c>
    </row>
    <row r="32" spans="1:21" s="444" customFormat="1" ht="22.5" customHeight="1" outlineLevel="1">
      <c r="A32" s="433"/>
      <c r="B32" s="450" t="s">
        <v>387</v>
      </c>
      <c r="C32" s="436"/>
      <c r="D32" s="437">
        <f>SUBTOTAL(9,D31:D31)</f>
        <v>150</v>
      </c>
      <c r="E32" s="475">
        <f>SUBTOTAL(9,E31:E31)</f>
        <v>180</v>
      </c>
      <c r="F32" s="439"/>
      <c r="G32" s="440">
        <f>SUBTOTAL(9,G31:G31)</f>
        <v>28800</v>
      </c>
      <c r="H32" s="441">
        <f>SUBTOTAL(9,H31:H31)</f>
        <v>0</v>
      </c>
      <c r="I32" s="434">
        <f>SUBTOTAL(9,I31:I31)</f>
        <v>28800</v>
      </c>
      <c r="J32" s="439">
        <v>28800</v>
      </c>
      <c r="K32" s="434" t="s">
        <v>231</v>
      </c>
      <c r="L32" s="442">
        <f>SUBTOTAL(9,L31:L31)</f>
        <v>27000</v>
      </c>
      <c r="M32" s="442">
        <f>SUBTOTAL(9,M31:M31)</f>
        <v>1800</v>
      </c>
      <c r="N32" s="443"/>
      <c r="O32" s="442"/>
      <c r="P32" s="442"/>
      <c r="Q32" s="444">
        <f>SUBTOTAL(9,Q31:Q31)</f>
        <v>192.85714285714312</v>
      </c>
      <c r="R32" s="444">
        <f>SUBTOTAL(9,R31:R31)</f>
        <v>321.4285714285714</v>
      </c>
      <c r="S32" s="445">
        <f>SUBTOTAL(9,S31:S31)</f>
        <v>1607.1428571428569</v>
      </c>
      <c r="T32" s="446">
        <v>8357.142857142857</v>
      </c>
      <c r="U32" s="446"/>
    </row>
    <row r="33" spans="1:24" s="383" customFormat="1" ht="26.25" customHeight="1" outlineLevel="2">
      <c r="A33" s="80">
        <v>41298</v>
      </c>
      <c r="B33" s="376" t="s">
        <v>309</v>
      </c>
      <c r="C33" s="377" t="s">
        <v>442</v>
      </c>
      <c r="D33" s="378">
        <v>150</v>
      </c>
      <c r="E33" s="387">
        <v>36</v>
      </c>
      <c r="F33" s="380">
        <v>250</v>
      </c>
      <c r="G33" s="381">
        <f>F33*E33</f>
        <v>9000</v>
      </c>
      <c r="H33" s="382"/>
      <c r="I33" s="375"/>
      <c r="J33" s="380">
        <v>9000</v>
      </c>
      <c r="K33" s="375" t="s">
        <v>231</v>
      </c>
      <c r="L33" s="383">
        <f>E33*D33</f>
        <v>5400</v>
      </c>
      <c r="M33" s="383">
        <f>G33-L33</f>
        <v>3600</v>
      </c>
      <c r="N33" s="277">
        <f>M33/G33</f>
        <v>0.4</v>
      </c>
      <c r="O33" s="383">
        <f>(E33*D33)/112*12</f>
        <v>578.5714285714286</v>
      </c>
      <c r="P33" s="383">
        <f>G33/112*12</f>
        <v>964.2857142857143</v>
      </c>
      <c r="Q33" s="374">
        <f>IF(SUM(H33:I33)&gt;0,(P33-O33),0)</f>
        <v>0</v>
      </c>
      <c r="R33" s="374">
        <f>IF(SUM(H33:I33)&gt;0,((M33-Q33)*20/100),0)</f>
        <v>0</v>
      </c>
      <c r="S33" s="385">
        <f>G33-L33-Q33</f>
        <v>3600</v>
      </c>
      <c r="T33" s="366">
        <v>5580</v>
      </c>
      <c r="U33" s="366"/>
      <c r="V33" s="374"/>
      <c r="W33" s="374"/>
      <c r="X33" s="374"/>
    </row>
    <row r="34" spans="1:24" s="442" customFormat="1" ht="26.25" customHeight="1" outlineLevel="1">
      <c r="A34" s="433"/>
      <c r="B34" s="447" t="s">
        <v>344</v>
      </c>
      <c r="C34" s="436"/>
      <c r="D34" s="437">
        <f>SUBTOTAL(9,D33:D33)</f>
        <v>150</v>
      </c>
      <c r="E34" s="473">
        <f>SUBTOTAL(9,E33:E33)</f>
        <v>36</v>
      </c>
      <c r="F34" s="439"/>
      <c r="G34" s="440">
        <f>SUBTOTAL(9,G33:G33)</f>
        <v>9000</v>
      </c>
      <c r="H34" s="441">
        <f>SUBTOTAL(9,H33:H33)</f>
        <v>0</v>
      </c>
      <c r="I34" s="434">
        <f>SUBTOTAL(9,I33:I33)</f>
        <v>0</v>
      </c>
      <c r="J34" s="439">
        <v>9000</v>
      </c>
      <c r="K34" s="434" t="s">
        <v>231</v>
      </c>
      <c r="L34" s="442">
        <f>SUBTOTAL(9,L33:L33)</f>
        <v>5400</v>
      </c>
      <c r="M34" s="442">
        <f>SUBTOTAL(9,M33:M33)</f>
        <v>3600</v>
      </c>
      <c r="N34" s="443"/>
      <c r="Q34" s="444">
        <f>SUBTOTAL(9,Q33:Q33)</f>
        <v>0</v>
      </c>
      <c r="R34" s="444">
        <f>SUBTOTAL(9,R33:R33)</f>
        <v>0</v>
      </c>
      <c r="S34" s="445">
        <f>SUBTOTAL(9,S33:S33)</f>
        <v>3600</v>
      </c>
      <c r="T34" s="446">
        <v>5580</v>
      </c>
      <c r="U34" s="446"/>
      <c r="V34" s="444"/>
      <c r="W34" s="444"/>
      <c r="X34" s="444"/>
    </row>
    <row r="35" spans="1:24" s="383" customFormat="1" ht="37.5" customHeight="1" outlineLevel="2">
      <c r="A35" s="80">
        <v>41283</v>
      </c>
      <c r="B35" s="376" t="s">
        <v>440</v>
      </c>
      <c r="C35" s="384" t="s">
        <v>439</v>
      </c>
      <c r="D35" s="378">
        <v>50</v>
      </c>
      <c r="E35" s="387">
        <v>160</v>
      </c>
      <c r="F35" s="380">
        <v>80</v>
      </c>
      <c r="G35" s="381">
        <f>F35*E35</f>
        <v>12800</v>
      </c>
      <c r="H35" s="382"/>
      <c r="I35" s="375">
        <v>12800</v>
      </c>
      <c r="J35" s="380">
        <v>12800</v>
      </c>
      <c r="K35" s="375" t="s">
        <v>84</v>
      </c>
      <c r="L35" s="383">
        <f>E35*D35</f>
        <v>8000</v>
      </c>
      <c r="M35" s="383">
        <f>G35-L35</f>
        <v>4800</v>
      </c>
      <c r="N35" s="277">
        <f>M35/G35</f>
        <v>0.375</v>
      </c>
      <c r="O35" s="383">
        <f>(E35*D35)/112*12</f>
        <v>857.1428571428571</v>
      </c>
      <c r="P35" s="383">
        <f>G35/112*12</f>
        <v>1371.4285714285716</v>
      </c>
      <c r="Q35" s="374">
        <f>IF(SUM(H35:I35)&gt;0,(P35-O35),0)</f>
        <v>514.2857142857144</v>
      </c>
      <c r="R35" s="374">
        <f>IF(SUM(H35:I35)&gt;0,((M35-Q35)*20/100),0)</f>
        <v>857.1428571428571</v>
      </c>
      <c r="S35" s="385">
        <f>G35-L35-Q35</f>
        <v>4285.714285714285</v>
      </c>
      <c r="T35" s="366">
        <v>3428.5714285714284</v>
      </c>
      <c r="U35" s="366"/>
      <c r="V35" s="374"/>
      <c r="W35" s="374"/>
      <c r="X35" s="374"/>
    </row>
    <row r="36" spans="1:24" s="383" customFormat="1" ht="26.25" customHeight="1" outlineLevel="2">
      <c r="A36" s="80">
        <v>41283</v>
      </c>
      <c r="B36" s="376" t="s">
        <v>440</v>
      </c>
      <c r="C36" s="384" t="s">
        <v>151</v>
      </c>
      <c r="D36" s="378">
        <v>500</v>
      </c>
      <c r="E36" s="387">
        <v>6</v>
      </c>
      <c r="F36" s="380">
        <v>800</v>
      </c>
      <c r="G36" s="381">
        <f>F36*E36</f>
        <v>4800</v>
      </c>
      <c r="H36" s="382"/>
      <c r="I36" s="375">
        <v>4800</v>
      </c>
      <c r="J36" s="380">
        <v>4800</v>
      </c>
      <c r="K36" s="375" t="s">
        <v>84</v>
      </c>
      <c r="L36" s="383">
        <f>E36*D36</f>
        <v>3000</v>
      </c>
      <c r="M36" s="383">
        <f>G36-L36</f>
        <v>1800</v>
      </c>
      <c r="N36" s="277">
        <f>M36/G36</f>
        <v>0.375</v>
      </c>
      <c r="O36" s="383">
        <f>(E36*D36)/112*12</f>
        <v>321.42857142857144</v>
      </c>
      <c r="P36" s="383">
        <f>G36/112*12</f>
        <v>514.2857142857142</v>
      </c>
      <c r="Q36" s="374">
        <f>IF(SUM(H36:I36)&gt;0,(P36-O36),0)</f>
        <v>192.85714285714278</v>
      </c>
      <c r="R36" s="374">
        <f>IF(SUM(H36:I36)&gt;0,((M36-Q36)*20/100),0)</f>
        <v>321.42857142857144</v>
      </c>
      <c r="S36" s="385">
        <f>G36-L36-Q36</f>
        <v>1607.1428571428573</v>
      </c>
      <c r="T36" s="366">
        <v>1285.7142857142858</v>
      </c>
      <c r="U36" s="366"/>
      <c r="V36" s="374"/>
      <c r="W36" s="374"/>
      <c r="X36" s="374"/>
    </row>
    <row r="37" spans="1:24" s="442" customFormat="1" ht="26.25" customHeight="1" outlineLevel="1">
      <c r="A37" s="433"/>
      <c r="B37" s="447" t="s">
        <v>473</v>
      </c>
      <c r="C37" s="448"/>
      <c r="D37" s="437">
        <f>SUBTOTAL(9,D35:D36)</f>
        <v>550</v>
      </c>
      <c r="E37" s="473">
        <f>SUBTOTAL(9,E35:E36)</f>
        <v>166</v>
      </c>
      <c r="F37" s="439"/>
      <c r="G37" s="440">
        <f>SUBTOTAL(9,G35:G36)</f>
        <v>17600</v>
      </c>
      <c r="H37" s="441">
        <f>SUBTOTAL(9,H35:H36)</f>
        <v>0</v>
      </c>
      <c r="I37" s="434">
        <f>SUBTOTAL(9,I35:I36)</f>
        <v>17600</v>
      </c>
      <c r="J37" s="439">
        <v>17600</v>
      </c>
      <c r="K37" s="434" t="s">
        <v>84</v>
      </c>
      <c r="L37" s="442">
        <f>SUBTOTAL(9,L35:L36)</f>
        <v>11000</v>
      </c>
      <c r="M37" s="442">
        <f>SUBTOTAL(9,M35:M36)</f>
        <v>6600</v>
      </c>
      <c r="N37" s="443"/>
      <c r="Q37" s="444">
        <f>SUBTOTAL(9,Q35:Q36)</f>
        <v>707.1428571428572</v>
      </c>
      <c r="R37" s="444">
        <f>SUBTOTAL(9,R35:R36)</f>
        <v>1178.5714285714284</v>
      </c>
      <c r="S37" s="445">
        <f>SUBTOTAL(9,S35:S36)</f>
        <v>5892.857142857143</v>
      </c>
      <c r="T37" s="446">
        <v>4714.285714285714</v>
      </c>
      <c r="U37" s="446"/>
      <c r="V37" s="444"/>
      <c r="W37" s="444"/>
      <c r="X37" s="444"/>
    </row>
    <row r="38" spans="1:20" ht="12" customHeight="1" outlineLevel="2">
      <c r="A38" s="80">
        <v>41302</v>
      </c>
      <c r="B38" s="376" t="s">
        <v>336</v>
      </c>
      <c r="C38" s="469" t="s">
        <v>431</v>
      </c>
      <c r="D38" s="378">
        <v>550</v>
      </c>
      <c r="E38" s="387">
        <v>4</v>
      </c>
      <c r="F38" s="380">
        <v>950</v>
      </c>
      <c r="G38" s="381">
        <f>F38*E38</f>
        <v>3800</v>
      </c>
      <c r="H38" s="382">
        <v>3800</v>
      </c>
      <c r="I38" s="375"/>
      <c r="J38" s="380">
        <v>3800</v>
      </c>
      <c r="K38" s="375" t="s">
        <v>338</v>
      </c>
      <c r="L38" s="383">
        <f>E38*D38</f>
        <v>2200</v>
      </c>
      <c r="M38" s="383">
        <f>G38-L38</f>
        <v>1600</v>
      </c>
      <c r="N38" s="277">
        <f>M38/G38</f>
        <v>0.42105263157894735</v>
      </c>
      <c r="O38" s="383">
        <f>(E38*D38)/112*12</f>
        <v>235.71428571428572</v>
      </c>
      <c r="P38" s="383">
        <f>G38/112*12</f>
        <v>407.14285714285717</v>
      </c>
      <c r="Q38" s="374">
        <f>IF(SUM(H38:I38)&gt;0,(P38-O38),0)</f>
        <v>171.42857142857144</v>
      </c>
      <c r="R38" s="374">
        <f>IF(SUM(H38:I38)&gt;0,((M38-Q38)*20/100),0)</f>
        <v>285.71428571428567</v>
      </c>
      <c r="S38" s="385">
        <f>G38-L38-Q38</f>
        <v>1428.5714285714284</v>
      </c>
      <c r="T38" s="366">
        <v>1285.7142857142858</v>
      </c>
    </row>
    <row r="39" spans="1:21" s="444" customFormat="1" ht="12" customHeight="1" outlineLevel="1">
      <c r="A39" s="433"/>
      <c r="B39" s="447" t="s">
        <v>474</v>
      </c>
      <c r="C39" s="476"/>
      <c r="D39" s="437">
        <f>SUBTOTAL(9,D38:D38)</f>
        <v>550</v>
      </c>
      <c r="E39" s="473">
        <f>SUBTOTAL(9,E38:E38)</f>
        <v>4</v>
      </c>
      <c r="F39" s="439"/>
      <c r="G39" s="440">
        <f>SUBTOTAL(9,G38:G38)</f>
        <v>3800</v>
      </c>
      <c r="H39" s="441">
        <f>SUBTOTAL(9,H38:H38)</f>
        <v>3800</v>
      </c>
      <c r="I39" s="434">
        <f>SUBTOTAL(9,I38:I38)</f>
        <v>0</v>
      </c>
      <c r="J39" s="439">
        <v>3800</v>
      </c>
      <c r="K39" s="434" t="s">
        <v>338</v>
      </c>
      <c r="L39" s="442">
        <f>SUBTOTAL(9,L38:L38)</f>
        <v>2200</v>
      </c>
      <c r="M39" s="442">
        <f>SUBTOTAL(9,M38:M38)</f>
        <v>1600</v>
      </c>
      <c r="N39" s="443"/>
      <c r="O39" s="442"/>
      <c r="P39" s="442"/>
      <c r="Q39" s="444">
        <f>SUBTOTAL(9,Q38:Q38)</f>
        <v>171.42857142857144</v>
      </c>
      <c r="R39" s="444">
        <f>SUBTOTAL(9,R38:R38)</f>
        <v>285.71428571428567</v>
      </c>
      <c r="S39" s="445">
        <f>SUBTOTAL(9,S38:S38)</f>
        <v>1428.5714285714284</v>
      </c>
      <c r="T39" s="446">
        <v>1285.7142857142858</v>
      </c>
      <c r="U39" s="446"/>
    </row>
    <row r="40" spans="1:24" ht="22.5" customHeight="1" outlineLevel="2">
      <c r="A40" s="80">
        <v>41292</v>
      </c>
      <c r="B40" s="382" t="s">
        <v>400</v>
      </c>
      <c r="C40" s="377" t="s">
        <v>361</v>
      </c>
      <c r="D40" s="378">
        <v>260</v>
      </c>
      <c r="E40" s="379">
        <v>12</v>
      </c>
      <c r="F40" s="380">
        <v>410</v>
      </c>
      <c r="G40" s="381">
        <f>F40*E40</f>
        <v>4920</v>
      </c>
      <c r="H40" s="382"/>
      <c r="I40" s="375"/>
      <c r="J40" s="380">
        <v>4920</v>
      </c>
      <c r="K40" s="375" t="s">
        <v>231</v>
      </c>
      <c r="L40" s="383">
        <f>E40*D40</f>
        <v>3120</v>
      </c>
      <c r="M40" s="383">
        <f>G40-L40</f>
        <v>1800</v>
      </c>
      <c r="N40" s="277">
        <f>M40/G40</f>
        <v>0.36585365853658536</v>
      </c>
      <c r="O40" s="383">
        <f>(E40*D40)/112*12</f>
        <v>334.2857142857143</v>
      </c>
      <c r="P40" s="383">
        <f>G40/112*12</f>
        <v>527.1428571428571</v>
      </c>
      <c r="Q40" s="374">
        <f>IF(SUM(H40:I40)&gt;0,(P40-O40),0)</f>
        <v>0</v>
      </c>
      <c r="R40" s="374">
        <f>IF(SUM(H40:I40)&gt;0,((M40-Q40)*20/100),0)</f>
        <v>0</v>
      </c>
      <c r="S40" s="385">
        <f>G40-L40-Q40</f>
        <v>1800</v>
      </c>
      <c r="T40" s="366">
        <v>2124</v>
      </c>
      <c r="W40" s="383"/>
      <c r="X40" s="383"/>
    </row>
    <row r="41" spans="1:24" ht="22.5" customHeight="1" outlineLevel="2">
      <c r="A41" s="80">
        <v>41299</v>
      </c>
      <c r="B41" s="376" t="s">
        <v>400</v>
      </c>
      <c r="C41" s="377" t="s">
        <v>361</v>
      </c>
      <c r="D41" s="378">
        <v>260</v>
      </c>
      <c r="E41" s="379">
        <v>24</v>
      </c>
      <c r="F41" s="380">
        <v>410</v>
      </c>
      <c r="G41" s="381">
        <f>F41*E41</f>
        <v>9840</v>
      </c>
      <c r="H41" s="382"/>
      <c r="I41" s="375"/>
      <c r="J41" s="380">
        <v>9840</v>
      </c>
      <c r="K41" s="375" t="s">
        <v>231</v>
      </c>
      <c r="L41" s="383">
        <f>E41*D41</f>
        <v>6240</v>
      </c>
      <c r="M41" s="383">
        <f>G41-L41</f>
        <v>3600</v>
      </c>
      <c r="N41" s="277">
        <f>M41/G41</f>
        <v>0.36585365853658536</v>
      </c>
      <c r="O41" s="383">
        <f>(E41*D41)/112*12</f>
        <v>668.5714285714286</v>
      </c>
      <c r="P41" s="383">
        <f>G41/112*12</f>
        <v>1054.2857142857142</v>
      </c>
      <c r="Q41" s="374">
        <f>IF(SUM(H41:I41)&gt;0,(P41-O41),0)</f>
        <v>0</v>
      </c>
      <c r="R41" s="374">
        <f>IF(SUM(H41:I41)&gt;0,((M41-Q41)*20/100),0)</f>
        <v>0</v>
      </c>
      <c r="S41" s="385">
        <f>G41-L41-Q41</f>
        <v>3600</v>
      </c>
      <c r="T41" s="366">
        <v>4248</v>
      </c>
      <c r="W41" s="386"/>
      <c r="X41" s="386"/>
    </row>
    <row r="42" spans="1:24" s="444" customFormat="1" ht="22.5" customHeight="1" outlineLevel="1">
      <c r="A42" s="433"/>
      <c r="B42" s="447" t="s">
        <v>475</v>
      </c>
      <c r="C42" s="436"/>
      <c r="D42" s="437">
        <f>SUBTOTAL(9,D40:D41)</f>
        <v>520</v>
      </c>
      <c r="E42" s="474">
        <f>SUBTOTAL(9,E40:E41)</f>
        <v>36</v>
      </c>
      <c r="F42" s="439"/>
      <c r="G42" s="440">
        <f>SUBTOTAL(9,G40:G41)</f>
        <v>14760</v>
      </c>
      <c r="H42" s="441">
        <f>SUBTOTAL(9,H40:H41)</f>
        <v>0</v>
      </c>
      <c r="I42" s="434">
        <f>SUBTOTAL(9,I40:I41)</f>
        <v>0</v>
      </c>
      <c r="J42" s="439">
        <v>14760</v>
      </c>
      <c r="K42" s="434" t="s">
        <v>231</v>
      </c>
      <c r="L42" s="442">
        <f>SUBTOTAL(9,L40:L41)</f>
        <v>9360</v>
      </c>
      <c r="M42" s="442">
        <f>SUBTOTAL(9,M40:M41)</f>
        <v>5400</v>
      </c>
      <c r="N42" s="443"/>
      <c r="O42" s="442"/>
      <c r="P42" s="442"/>
      <c r="Q42" s="444">
        <f>SUBTOTAL(9,Q40:Q41)</f>
        <v>0</v>
      </c>
      <c r="R42" s="444">
        <f>SUBTOTAL(9,R40:R41)</f>
        <v>0</v>
      </c>
      <c r="S42" s="445">
        <f>SUBTOTAL(9,S40:S41)</f>
        <v>5400</v>
      </c>
      <c r="T42" s="446">
        <v>6372</v>
      </c>
      <c r="U42" s="446"/>
      <c r="W42" s="449"/>
      <c r="X42" s="449"/>
    </row>
    <row r="43" spans="1:20" ht="29.25" customHeight="1" outlineLevel="2">
      <c r="A43" s="80">
        <v>41283</v>
      </c>
      <c r="B43" s="428" t="s">
        <v>185</v>
      </c>
      <c r="C43" s="377" t="s">
        <v>365</v>
      </c>
      <c r="D43" s="378">
        <v>150</v>
      </c>
      <c r="E43" s="387">
        <v>18</v>
      </c>
      <c r="F43" s="380">
        <v>279</v>
      </c>
      <c r="G43" s="381">
        <f aca="true" t="shared" si="3" ref="G43:G49">F43*E43</f>
        <v>5022</v>
      </c>
      <c r="H43" s="382"/>
      <c r="I43" s="375"/>
      <c r="J43" s="380">
        <v>5022</v>
      </c>
      <c r="K43" s="375" t="s">
        <v>231</v>
      </c>
      <c r="L43" s="383">
        <f aca="true" t="shared" si="4" ref="L43:L49">E43*D43</f>
        <v>2700</v>
      </c>
      <c r="M43" s="383">
        <f>G43-L43</f>
        <v>2322</v>
      </c>
      <c r="N43" s="277">
        <f aca="true" t="shared" si="5" ref="N43:N49">M43/G43</f>
        <v>0.46236559139784944</v>
      </c>
      <c r="O43" s="383">
        <f aca="true" t="shared" si="6" ref="O43:O49">(E43*D43)/112*12</f>
        <v>289.2857142857143</v>
      </c>
      <c r="P43" s="383">
        <f aca="true" t="shared" si="7" ref="P43:P49">G43/112*12</f>
        <v>538.0714285714286</v>
      </c>
      <c r="Q43" s="374">
        <f aca="true" t="shared" si="8" ref="Q43:Q49">IF(SUM(H43:I43)&gt;0,(P43-O43),0)</f>
        <v>0</v>
      </c>
      <c r="R43" s="374">
        <f aca="true" t="shared" si="9" ref="R43:R49">IF(SUM(H43:I43)&gt;0,((M43-Q43)*20/100),0)</f>
        <v>0</v>
      </c>
      <c r="S43" s="385">
        <f aca="true" t="shared" si="10" ref="S43:S49">G43-L43-Q43</f>
        <v>2322</v>
      </c>
      <c r="T43" s="366">
        <v>3312</v>
      </c>
    </row>
    <row r="44" spans="1:20" ht="22.5" customHeight="1" outlineLevel="2">
      <c r="A44" s="80">
        <v>41283</v>
      </c>
      <c r="B44" s="428" t="s">
        <v>185</v>
      </c>
      <c r="C44" s="377" t="s">
        <v>373</v>
      </c>
      <c r="D44" s="378">
        <v>600</v>
      </c>
      <c r="E44" s="387">
        <v>12</v>
      </c>
      <c r="F44" s="380">
        <v>850</v>
      </c>
      <c r="G44" s="381">
        <f t="shared" si="3"/>
        <v>10200</v>
      </c>
      <c r="H44" s="382"/>
      <c r="I44" s="375"/>
      <c r="J44" s="380">
        <v>10200</v>
      </c>
      <c r="K44" s="375" t="s">
        <v>231</v>
      </c>
      <c r="L44" s="383">
        <f t="shared" si="4"/>
        <v>7200</v>
      </c>
      <c r="M44" s="383">
        <f aca="true" t="shared" si="11" ref="M43:M49">G44-L44</f>
        <v>3000</v>
      </c>
      <c r="N44" s="277">
        <f t="shared" si="5"/>
        <v>0.29411764705882354</v>
      </c>
      <c r="O44" s="383">
        <f t="shared" si="6"/>
        <v>771.4285714285716</v>
      </c>
      <c r="P44" s="383">
        <f t="shared" si="7"/>
        <v>1092.857142857143</v>
      </c>
      <c r="Q44" s="374">
        <f t="shared" si="8"/>
        <v>0</v>
      </c>
      <c r="R44" s="374">
        <f t="shared" si="9"/>
        <v>0</v>
      </c>
      <c r="S44" s="385">
        <f t="shared" si="10"/>
        <v>3000</v>
      </c>
      <c r="T44" s="366">
        <v>3720</v>
      </c>
    </row>
    <row r="45" spans="1:20" ht="22.5" customHeight="1" outlineLevel="2">
      <c r="A45" s="80">
        <v>41302</v>
      </c>
      <c r="B45" s="428" t="s">
        <v>185</v>
      </c>
      <c r="C45" s="377" t="s">
        <v>460</v>
      </c>
      <c r="D45" s="378">
        <v>1120</v>
      </c>
      <c r="E45" s="387">
        <v>1</v>
      </c>
      <c r="F45" s="380">
        <v>1750</v>
      </c>
      <c r="G45" s="381">
        <f t="shared" si="3"/>
        <v>1750</v>
      </c>
      <c r="H45" s="382"/>
      <c r="I45" s="375"/>
      <c r="J45" s="380">
        <v>1750</v>
      </c>
      <c r="K45" s="375" t="s">
        <v>231</v>
      </c>
      <c r="L45" s="383">
        <f t="shared" si="4"/>
        <v>1120</v>
      </c>
      <c r="M45" s="383">
        <f t="shared" si="11"/>
        <v>630</v>
      </c>
      <c r="N45" s="277">
        <f t="shared" si="5"/>
        <v>0.36</v>
      </c>
      <c r="O45" s="383">
        <f t="shared" si="6"/>
        <v>120</v>
      </c>
      <c r="P45" s="383">
        <f t="shared" si="7"/>
        <v>187.5</v>
      </c>
      <c r="Q45" s="374">
        <f t="shared" si="8"/>
        <v>0</v>
      </c>
      <c r="R45" s="374">
        <f t="shared" si="9"/>
        <v>0</v>
      </c>
      <c r="S45" s="385">
        <f t="shared" si="10"/>
        <v>630</v>
      </c>
      <c r="T45" s="366">
        <v>630</v>
      </c>
    </row>
    <row r="46" spans="1:20" ht="22.5" customHeight="1" outlineLevel="2">
      <c r="A46" s="80">
        <v>41302</v>
      </c>
      <c r="B46" s="428" t="s">
        <v>185</v>
      </c>
      <c r="C46" s="384" t="s">
        <v>124</v>
      </c>
      <c r="D46" s="378">
        <v>640</v>
      </c>
      <c r="E46" s="387">
        <v>1</v>
      </c>
      <c r="F46" s="380">
        <v>1000</v>
      </c>
      <c r="G46" s="381">
        <f t="shared" si="3"/>
        <v>1000</v>
      </c>
      <c r="H46" s="382"/>
      <c r="I46" s="375"/>
      <c r="J46" s="380">
        <v>1000</v>
      </c>
      <c r="K46" s="375" t="s">
        <v>231</v>
      </c>
      <c r="L46" s="383">
        <f t="shared" si="4"/>
        <v>640</v>
      </c>
      <c r="M46" s="383">
        <f t="shared" si="11"/>
        <v>360</v>
      </c>
      <c r="N46" s="277">
        <f t="shared" si="5"/>
        <v>0.36</v>
      </c>
      <c r="O46" s="383">
        <f t="shared" si="6"/>
        <v>68.57142857142857</v>
      </c>
      <c r="P46" s="383">
        <f t="shared" si="7"/>
        <v>107.14285714285714</v>
      </c>
      <c r="Q46" s="374">
        <f t="shared" si="8"/>
        <v>0</v>
      </c>
      <c r="R46" s="374">
        <f t="shared" si="9"/>
        <v>0</v>
      </c>
      <c r="S46" s="385">
        <f t="shared" si="10"/>
        <v>360</v>
      </c>
      <c r="T46" s="366">
        <v>360</v>
      </c>
    </row>
    <row r="47" spans="1:20" ht="22.5" customHeight="1" outlineLevel="2">
      <c r="A47" s="80">
        <v>41302</v>
      </c>
      <c r="B47" s="428" t="s">
        <v>185</v>
      </c>
      <c r="C47" s="377" t="s">
        <v>123</v>
      </c>
      <c r="D47" s="378">
        <v>400</v>
      </c>
      <c r="E47" s="387">
        <v>5</v>
      </c>
      <c r="F47" s="380">
        <v>625</v>
      </c>
      <c r="G47" s="381">
        <f t="shared" si="3"/>
        <v>3125</v>
      </c>
      <c r="H47" s="382"/>
      <c r="I47" s="375"/>
      <c r="J47" s="380">
        <v>3125</v>
      </c>
      <c r="K47" s="375" t="s">
        <v>231</v>
      </c>
      <c r="L47" s="383">
        <f t="shared" si="4"/>
        <v>2000</v>
      </c>
      <c r="M47" s="383">
        <f t="shared" si="11"/>
        <v>1125</v>
      </c>
      <c r="N47" s="277">
        <f t="shared" si="5"/>
        <v>0.36</v>
      </c>
      <c r="O47" s="383">
        <f t="shared" si="6"/>
        <v>214.28571428571428</v>
      </c>
      <c r="P47" s="383">
        <f t="shared" si="7"/>
        <v>334.82142857142856</v>
      </c>
      <c r="Q47" s="374">
        <f t="shared" si="8"/>
        <v>0</v>
      </c>
      <c r="R47" s="374">
        <f t="shared" si="9"/>
        <v>0</v>
      </c>
      <c r="S47" s="385">
        <f t="shared" si="10"/>
        <v>1125</v>
      </c>
      <c r="T47" s="366">
        <v>1125</v>
      </c>
    </row>
    <row r="48" spans="1:20" ht="22.5" customHeight="1" outlineLevel="2">
      <c r="A48" s="80">
        <v>41302</v>
      </c>
      <c r="B48" s="428" t="s">
        <v>185</v>
      </c>
      <c r="C48" s="384" t="s">
        <v>310</v>
      </c>
      <c r="D48" s="378">
        <v>440</v>
      </c>
      <c r="E48" s="387">
        <v>12</v>
      </c>
      <c r="F48" s="380">
        <v>980</v>
      </c>
      <c r="G48" s="381">
        <f t="shared" si="3"/>
        <v>11760</v>
      </c>
      <c r="H48" s="382"/>
      <c r="I48" s="375"/>
      <c r="J48" s="380">
        <v>9260</v>
      </c>
      <c r="K48" s="375" t="s">
        <v>231</v>
      </c>
      <c r="L48" s="383">
        <f t="shared" si="4"/>
        <v>5280</v>
      </c>
      <c r="M48" s="383">
        <f t="shared" si="11"/>
        <v>6480</v>
      </c>
      <c r="N48" s="277">
        <f t="shared" si="5"/>
        <v>0.5510204081632653</v>
      </c>
      <c r="O48" s="383">
        <f t="shared" si="6"/>
        <v>565.7142857142858</v>
      </c>
      <c r="P48" s="383">
        <f t="shared" si="7"/>
        <v>1260</v>
      </c>
      <c r="Q48" s="374">
        <f t="shared" si="8"/>
        <v>0</v>
      </c>
      <c r="R48" s="374">
        <f t="shared" si="9"/>
        <v>0</v>
      </c>
      <c r="S48" s="385">
        <f t="shared" si="10"/>
        <v>6480</v>
      </c>
      <c r="T48" s="366">
        <v>6480</v>
      </c>
    </row>
    <row r="49" spans="1:20" ht="22.5" customHeight="1" outlineLevel="2">
      <c r="A49" s="80">
        <v>41302</v>
      </c>
      <c r="B49" s="428" t="s">
        <v>185</v>
      </c>
      <c r="C49" s="377" t="s">
        <v>461</v>
      </c>
      <c r="D49" s="378">
        <v>600</v>
      </c>
      <c r="E49" s="387">
        <v>1</v>
      </c>
      <c r="F49" s="380">
        <v>0</v>
      </c>
      <c r="G49" s="381">
        <f t="shared" si="3"/>
        <v>0</v>
      </c>
      <c r="H49" s="382"/>
      <c r="I49" s="375"/>
      <c r="J49" s="380">
        <v>0</v>
      </c>
      <c r="K49" s="375" t="s">
        <v>231</v>
      </c>
      <c r="L49" s="383">
        <f t="shared" si="4"/>
        <v>600</v>
      </c>
      <c r="M49" s="383">
        <f t="shared" si="11"/>
        <v>-600</v>
      </c>
      <c r="N49" s="277" t="e">
        <f t="shared" si="5"/>
        <v>#DIV/0!</v>
      </c>
      <c r="O49" s="383">
        <f t="shared" si="6"/>
        <v>64.28571428571428</v>
      </c>
      <c r="P49" s="383">
        <f t="shared" si="7"/>
        <v>0</v>
      </c>
      <c r="Q49" s="374">
        <f t="shared" si="8"/>
        <v>0</v>
      </c>
      <c r="R49" s="374">
        <f t="shared" si="9"/>
        <v>0</v>
      </c>
      <c r="S49" s="385">
        <f t="shared" si="10"/>
        <v>-600</v>
      </c>
      <c r="T49" s="366">
        <v>-600</v>
      </c>
    </row>
    <row r="50" spans="1:21" s="444" customFormat="1" ht="22.5" customHeight="1" outlineLevel="1">
      <c r="A50" s="433"/>
      <c r="B50" s="450" t="s">
        <v>245</v>
      </c>
      <c r="C50" s="436"/>
      <c r="D50" s="437">
        <f>SUBTOTAL(9,D43:D49)</f>
        <v>3950</v>
      </c>
      <c r="E50" s="473">
        <f>SUBTOTAL(9,E43:E49)</f>
        <v>50</v>
      </c>
      <c r="F50" s="439"/>
      <c r="G50" s="440">
        <f>SUBTOTAL(9,G43:G49)</f>
        <v>32857</v>
      </c>
      <c r="H50" s="441">
        <f>SUBTOTAL(9,H43:H49)</f>
        <v>0</v>
      </c>
      <c r="I50" s="434">
        <f>SUBTOTAL(9,I43:I49)</f>
        <v>0</v>
      </c>
      <c r="J50" s="439">
        <v>30357</v>
      </c>
      <c r="K50" s="434" t="s">
        <v>231</v>
      </c>
      <c r="L50" s="442">
        <f>SUBTOTAL(9,L43:L49)</f>
        <v>19540</v>
      </c>
      <c r="M50" s="442">
        <f>SUBTOTAL(9,M43:M49)</f>
        <v>13317</v>
      </c>
      <c r="N50" s="443"/>
      <c r="O50" s="442"/>
      <c r="P50" s="442"/>
      <c r="Q50" s="444">
        <f>SUBTOTAL(9,Q43:Q49)</f>
        <v>0</v>
      </c>
      <c r="R50" s="444">
        <f>SUBTOTAL(9,R43:R49)</f>
        <v>0</v>
      </c>
      <c r="S50" s="445">
        <f>SUBTOTAL(9,S43:S49)</f>
        <v>13317</v>
      </c>
      <c r="T50" s="446">
        <v>15027</v>
      </c>
      <c r="U50" s="446"/>
    </row>
    <row r="51" spans="1:20" ht="42" customHeight="1" outlineLevel="2">
      <c r="A51" s="80">
        <v>41283</v>
      </c>
      <c r="B51" s="376" t="s">
        <v>228</v>
      </c>
      <c r="C51" s="377" t="s">
        <v>361</v>
      </c>
      <c r="D51" s="378">
        <v>260</v>
      </c>
      <c r="E51" s="387">
        <v>12</v>
      </c>
      <c r="F51" s="380">
        <v>410</v>
      </c>
      <c r="G51" s="381">
        <f>F51*E51</f>
        <v>4920</v>
      </c>
      <c r="H51" s="382"/>
      <c r="I51" s="375"/>
      <c r="J51" s="380">
        <v>4920</v>
      </c>
      <c r="K51" s="375" t="s">
        <v>231</v>
      </c>
      <c r="L51" s="383">
        <f>E51*D51</f>
        <v>3120</v>
      </c>
      <c r="M51" s="383">
        <f>G51-L51</f>
        <v>1800</v>
      </c>
      <c r="N51" s="277">
        <f>M51/G51</f>
        <v>0.36585365853658536</v>
      </c>
      <c r="O51" s="383">
        <f>(E51*D51)/112*12</f>
        <v>334.2857142857143</v>
      </c>
      <c r="P51" s="383">
        <f>G51/112*12</f>
        <v>527.1428571428571</v>
      </c>
      <c r="Q51" s="374">
        <f>IF(SUM(H51:I51)&gt;0,(P51-O51),0)</f>
        <v>0</v>
      </c>
      <c r="R51" s="374">
        <f>IF(SUM(H51:I51)&gt;0,((M51-Q51)*20/100),0)</f>
        <v>0</v>
      </c>
      <c r="S51" s="385">
        <f>G51-L51-Q51</f>
        <v>1800</v>
      </c>
      <c r="T51" s="366">
        <v>2124</v>
      </c>
    </row>
    <row r="52" spans="1:20" ht="23.25" customHeight="1" outlineLevel="2">
      <c r="A52" s="80">
        <v>41283</v>
      </c>
      <c r="B52" s="376" t="s">
        <v>228</v>
      </c>
      <c r="C52" s="377" t="s">
        <v>356</v>
      </c>
      <c r="D52" s="378">
        <v>80</v>
      </c>
      <c r="E52" s="387">
        <v>1</v>
      </c>
      <c r="F52" s="380">
        <v>175</v>
      </c>
      <c r="G52" s="381">
        <f>F52*E52</f>
        <v>175</v>
      </c>
      <c r="H52" s="382"/>
      <c r="I52" s="375"/>
      <c r="J52" s="380">
        <v>175</v>
      </c>
      <c r="K52" s="375" t="s">
        <v>231</v>
      </c>
      <c r="L52" s="383">
        <f>E52*D52</f>
        <v>80</v>
      </c>
      <c r="M52" s="383">
        <f>G52-L52</f>
        <v>95</v>
      </c>
      <c r="N52" s="277">
        <f>M52/G52</f>
        <v>0.5428571428571428</v>
      </c>
      <c r="O52" s="383">
        <f>(E52*D52)/112*12</f>
        <v>8.571428571428571</v>
      </c>
      <c r="P52" s="383">
        <f>G52/112*12</f>
        <v>18.75</v>
      </c>
      <c r="Q52" s="374">
        <f>IF(SUM(H52:I52)&gt;0,(P52-O52),0)</f>
        <v>0</v>
      </c>
      <c r="R52" s="374">
        <f>IF(SUM(H52:I52)&gt;0,((M52-Q52)*20/100),0)</f>
        <v>0</v>
      </c>
      <c r="S52" s="385">
        <f>G52-L52-Q52</f>
        <v>95</v>
      </c>
      <c r="T52" s="366">
        <v>95</v>
      </c>
    </row>
    <row r="53" spans="1:20" ht="23.25" customHeight="1" outlineLevel="2">
      <c r="A53" s="80">
        <v>41271</v>
      </c>
      <c r="B53" s="376" t="s">
        <v>228</v>
      </c>
      <c r="C53" s="377" t="s">
        <v>361</v>
      </c>
      <c r="D53" s="378">
        <v>260</v>
      </c>
      <c r="E53" s="387">
        <v>24</v>
      </c>
      <c r="F53" s="380">
        <v>410</v>
      </c>
      <c r="G53" s="381">
        <f>F53*E53</f>
        <v>9840</v>
      </c>
      <c r="H53" s="382"/>
      <c r="I53" s="375"/>
      <c r="J53" s="380">
        <v>9840</v>
      </c>
      <c r="K53" s="375" t="s">
        <v>231</v>
      </c>
      <c r="L53" s="383">
        <f>E53*D53</f>
        <v>6240</v>
      </c>
      <c r="M53" s="383">
        <f>G53-L53</f>
        <v>3600</v>
      </c>
      <c r="N53" s="277">
        <f>M53/G53</f>
        <v>0.36585365853658536</v>
      </c>
      <c r="O53" s="383">
        <f>(E53*D53)/112*12</f>
        <v>668.5714285714286</v>
      </c>
      <c r="P53" s="383">
        <f>G53/112*12</f>
        <v>1054.2857142857142</v>
      </c>
      <c r="Q53" s="374">
        <f>IF(SUM(H53:I53)&gt;0,(P53-O53),0)</f>
        <v>0</v>
      </c>
      <c r="R53" s="374">
        <f>IF(SUM(H53:I53)&gt;0,((M53-Q53)*20/100),0)</f>
        <v>0</v>
      </c>
      <c r="S53" s="385">
        <f>G53-L53-Q53</f>
        <v>3600</v>
      </c>
      <c r="T53" s="366">
        <v>4248</v>
      </c>
    </row>
    <row r="54" spans="1:21" s="444" customFormat="1" ht="23.25" customHeight="1" outlineLevel="1">
      <c r="A54" s="433"/>
      <c r="B54" s="447" t="s">
        <v>248</v>
      </c>
      <c r="C54" s="436"/>
      <c r="D54" s="437">
        <f>SUBTOTAL(9,D51:D53)</f>
        <v>600</v>
      </c>
      <c r="E54" s="473">
        <f>SUBTOTAL(9,E51:E53)</f>
        <v>37</v>
      </c>
      <c r="F54" s="439"/>
      <c r="G54" s="440">
        <f>SUBTOTAL(9,G51:G53)</f>
        <v>14935</v>
      </c>
      <c r="H54" s="441">
        <f>SUBTOTAL(9,H51:H53)</f>
        <v>0</v>
      </c>
      <c r="I54" s="434">
        <f>SUBTOTAL(9,I51:I53)</f>
        <v>0</v>
      </c>
      <c r="J54" s="439">
        <v>14935</v>
      </c>
      <c r="K54" s="434" t="s">
        <v>231</v>
      </c>
      <c r="L54" s="442">
        <f>SUBTOTAL(9,L51:L53)</f>
        <v>9440</v>
      </c>
      <c r="M54" s="442">
        <f>SUBTOTAL(9,M51:M53)</f>
        <v>5495</v>
      </c>
      <c r="N54" s="443"/>
      <c r="O54" s="442"/>
      <c r="P54" s="442"/>
      <c r="Q54" s="444">
        <f>SUBTOTAL(9,Q51:Q53)</f>
        <v>0</v>
      </c>
      <c r="R54" s="444">
        <f>SUBTOTAL(9,R51:R53)</f>
        <v>0</v>
      </c>
      <c r="S54" s="445">
        <f>SUBTOTAL(9,S51:S53)</f>
        <v>5495</v>
      </c>
      <c r="T54" s="446">
        <v>6467</v>
      </c>
      <c r="U54" s="446"/>
    </row>
    <row r="55" spans="1:24" ht="31.5" customHeight="1" outlineLevel="2">
      <c r="A55" s="80">
        <v>41282</v>
      </c>
      <c r="B55" s="376" t="s">
        <v>357</v>
      </c>
      <c r="C55" s="377" t="s">
        <v>151</v>
      </c>
      <c r="D55" s="378">
        <v>580</v>
      </c>
      <c r="E55" s="387">
        <v>10</v>
      </c>
      <c r="F55" s="380">
        <v>950</v>
      </c>
      <c r="G55" s="381">
        <f>F55*E55</f>
        <v>9500</v>
      </c>
      <c r="H55" s="382"/>
      <c r="I55" s="375">
        <v>9500</v>
      </c>
      <c r="J55" s="380">
        <v>9500</v>
      </c>
      <c r="K55" s="375" t="s">
        <v>231</v>
      </c>
      <c r="L55" s="383">
        <f>E55*D55</f>
        <v>5800</v>
      </c>
      <c r="M55" s="383">
        <f>G55-L55</f>
        <v>3700</v>
      </c>
      <c r="N55" s="277">
        <f>M55/G55</f>
        <v>0.3894736842105263</v>
      </c>
      <c r="O55" s="383">
        <f>(E55*D55)/112*12</f>
        <v>621.4285714285714</v>
      </c>
      <c r="P55" s="383">
        <f>G55/112*12</f>
        <v>1017.8571428571429</v>
      </c>
      <c r="Q55" s="374">
        <f>IF(SUM(H55:I55)&gt;0,(P55-O55),0)</f>
        <v>396.42857142857144</v>
      </c>
      <c r="R55" s="374">
        <f>IF(SUM(H55:I55)&gt;0,((M55-Q55)*20/100),0)</f>
        <v>660.7142857142857</v>
      </c>
      <c r="S55" s="385">
        <f>G55-L55-Q55</f>
        <v>3303.5714285714284</v>
      </c>
      <c r="T55" s="366">
        <v>2642.8571428571427</v>
      </c>
      <c r="W55" s="386"/>
      <c r="X55" s="386"/>
    </row>
    <row r="56" spans="1:20" ht="29.25" customHeight="1" outlineLevel="2">
      <c r="A56" s="80">
        <v>41282</v>
      </c>
      <c r="B56" s="376" t="s">
        <v>357</v>
      </c>
      <c r="C56" s="377" t="s">
        <v>443</v>
      </c>
      <c r="D56" s="378">
        <v>850</v>
      </c>
      <c r="E56" s="387">
        <v>20</v>
      </c>
      <c r="F56" s="380">
        <v>950</v>
      </c>
      <c r="G56" s="381">
        <f>F56*E56</f>
        <v>19000</v>
      </c>
      <c r="H56" s="382"/>
      <c r="I56" s="375">
        <v>19000</v>
      </c>
      <c r="J56" s="380">
        <v>19000</v>
      </c>
      <c r="K56" s="375" t="s">
        <v>231</v>
      </c>
      <c r="L56" s="383">
        <f>E56*D56</f>
        <v>17000</v>
      </c>
      <c r="M56" s="383">
        <f>G56-L56</f>
        <v>2000</v>
      </c>
      <c r="N56" s="277">
        <f>M56/G56</f>
        <v>0.10526315789473684</v>
      </c>
      <c r="O56" s="383">
        <f>(E56*D56)/112*12</f>
        <v>1821.4285714285713</v>
      </c>
      <c r="P56" s="383">
        <f>G56/112*12</f>
        <v>2035.7142857142858</v>
      </c>
      <c r="Q56" s="374">
        <f>IF(SUM(H56:I56)&gt;0,(P56-O56),0)</f>
        <v>214.28571428571445</v>
      </c>
      <c r="R56" s="374">
        <f>IF(SUM(H56:I56)&gt;0,((M56-Q56)*20/100),0)</f>
        <v>357.1428571428571</v>
      </c>
      <c r="S56" s="385">
        <f>G56-L56-Q56</f>
        <v>1785.7142857142856</v>
      </c>
      <c r="T56" s="366">
        <v>3285.7142857142853</v>
      </c>
    </row>
    <row r="57" spans="1:24" ht="15" customHeight="1" outlineLevel="2">
      <c r="A57" s="80">
        <v>41282</v>
      </c>
      <c r="B57" s="382" t="s">
        <v>357</v>
      </c>
      <c r="C57" s="377" t="s">
        <v>444</v>
      </c>
      <c r="D57" s="378">
        <v>850</v>
      </c>
      <c r="E57" s="379">
        <v>1</v>
      </c>
      <c r="F57" s="380">
        <v>1100</v>
      </c>
      <c r="G57" s="381">
        <f>F57*E57</f>
        <v>1100</v>
      </c>
      <c r="H57" s="382"/>
      <c r="I57" s="375">
        <v>1100</v>
      </c>
      <c r="J57" s="380">
        <v>1100</v>
      </c>
      <c r="K57" s="375" t="s">
        <v>231</v>
      </c>
      <c r="L57" s="383">
        <f>E57*D57</f>
        <v>850</v>
      </c>
      <c r="M57" s="383">
        <f>G57-L57</f>
        <v>250</v>
      </c>
      <c r="N57" s="277">
        <f>M57/G57</f>
        <v>0.22727272727272727</v>
      </c>
      <c r="O57" s="383">
        <f>(E57*D57)/112*12</f>
        <v>91.07142857142857</v>
      </c>
      <c r="P57" s="383">
        <f>G57/112*12</f>
        <v>117.85714285714286</v>
      </c>
      <c r="Q57" s="374">
        <f>IF(SUM(H57:I57)&gt;0,(P57-O57),0)</f>
        <v>26.785714285714292</v>
      </c>
      <c r="R57" s="374">
        <f>IF(SUM(H57:I57)&gt;0,((M57-Q57)*20/100),0)</f>
        <v>44.642857142857146</v>
      </c>
      <c r="S57" s="385">
        <f>G57-L57-Q57</f>
        <v>223.21428571428572</v>
      </c>
      <c r="T57" s="366">
        <v>178.57142857142858</v>
      </c>
      <c r="W57" s="383"/>
      <c r="X57" s="383"/>
    </row>
    <row r="58" spans="1:20" ht="12.75" outlineLevel="2">
      <c r="A58" s="80">
        <v>41295</v>
      </c>
      <c r="B58" s="429" t="s">
        <v>357</v>
      </c>
      <c r="C58" s="377" t="s">
        <v>462</v>
      </c>
      <c r="D58" s="378">
        <v>1350</v>
      </c>
      <c r="E58" s="387">
        <v>1</v>
      </c>
      <c r="F58" s="380">
        <v>2000</v>
      </c>
      <c r="G58" s="381">
        <f>F58*E58</f>
        <v>2000</v>
      </c>
      <c r="H58" s="382"/>
      <c r="I58" s="375"/>
      <c r="J58" s="380">
        <v>2000</v>
      </c>
      <c r="K58" s="375" t="s">
        <v>231</v>
      </c>
      <c r="L58" s="383">
        <f>E58*D58</f>
        <v>1350</v>
      </c>
      <c r="M58" s="383">
        <f>G58-L58</f>
        <v>650</v>
      </c>
      <c r="N58" s="277">
        <f>M58/G58</f>
        <v>0.325</v>
      </c>
      <c r="O58" s="383">
        <f>(E58*D58)/112*12</f>
        <v>144.64285714285714</v>
      </c>
      <c r="P58" s="383">
        <f>G58/112*12</f>
        <v>214.28571428571428</v>
      </c>
      <c r="Q58" s="374">
        <f>IF(SUM(H58:I58)&gt;0,(P58-O58),0)</f>
        <v>0</v>
      </c>
      <c r="R58" s="374">
        <f>IF(SUM(H58:I58)&gt;0,((M58-Q58)*20/100),0)</f>
        <v>0</v>
      </c>
      <c r="S58" s="385">
        <f>G58-L58-Q58</f>
        <v>650</v>
      </c>
      <c r="T58" s="366">
        <v>900</v>
      </c>
    </row>
    <row r="59" spans="1:21" s="444" customFormat="1" ht="12.75" outlineLevel="1">
      <c r="A59" s="433"/>
      <c r="B59" s="589" t="s">
        <v>371</v>
      </c>
      <c r="C59" s="436"/>
      <c r="D59" s="437">
        <f>SUBTOTAL(9,D55:D58)</f>
        <v>3630</v>
      </c>
      <c r="E59" s="473">
        <f>SUBTOTAL(9,E55:E58)</f>
        <v>32</v>
      </c>
      <c r="F59" s="439"/>
      <c r="G59" s="440">
        <f>SUBTOTAL(9,G55:G58)</f>
        <v>31600</v>
      </c>
      <c r="H59" s="441">
        <f>SUBTOTAL(9,H55:H58)</f>
        <v>0</v>
      </c>
      <c r="I59" s="434">
        <f>SUBTOTAL(9,I55:I58)</f>
        <v>29600</v>
      </c>
      <c r="J59" s="439">
        <v>31600</v>
      </c>
      <c r="K59" s="434" t="s">
        <v>231</v>
      </c>
      <c r="L59" s="442">
        <f>SUBTOTAL(9,L55:L58)</f>
        <v>25000</v>
      </c>
      <c r="M59" s="442">
        <f>SUBTOTAL(9,M55:M58)</f>
        <v>6600</v>
      </c>
      <c r="N59" s="443"/>
      <c r="O59" s="442"/>
      <c r="P59" s="442"/>
      <c r="Q59" s="444">
        <f>SUBTOTAL(9,Q55:Q58)</f>
        <v>637.5000000000002</v>
      </c>
      <c r="R59" s="444">
        <f>SUBTOTAL(9,R55:R58)</f>
        <v>1062.5</v>
      </c>
      <c r="S59" s="445">
        <f>SUBTOTAL(9,S55:S58)</f>
        <v>5962.499999999999</v>
      </c>
      <c r="T59" s="446">
        <v>7007.142857142856</v>
      </c>
      <c r="U59" s="446"/>
    </row>
    <row r="60" spans="1:20" ht="12.75" outlineLevel="2">
      <c r="A60" s="80">
        <v>41295</v>
      </c>
      <c r="B60" s="376" t="s">
        <v>174</v>
      </c>
      <c r="C60" s="377" t="s">
        <v>437</v>
      </c>
      <c r="D60" s="378">
        <v>500</v>
      </c>
      <c r="E60" s="387">
        <v>100</v>
      </c>
      <c r="F60" s="380">
        <v>580</v>
      </c>
      <c r="G60" s="381">
        <f>F60*E60</f>
        <v>58000</v>
      </c>
      <c r="H60" s="382"/>
      <c r="I60" s="375">
        <v>222900</v>
      </c>
      <c r="J60" s="380">
        <v>222900</v>
      </c>
      <c r="K60" s="375" t="s">
        <v>231</v>
      </c>
      <c r="L60" s="383">
        <f>E60*D60</f>
        <v>50000</v>
      </c>
      <c r="M60" s="383">
        <f>G60-L60</f>
        <v>8000</v>
      </c>
      <c r="N60" s="277">
        <f>M60/G60</f>
        <v>0.13793103448275862</v>
      </c>
      <c r="O60" s="383">
        <f>(E60*D60)/112*12</f>
        <v>5357.142857142857</v>
      </c>
      <c r="P60" s="383">
        <f>G60/112*12</f>
        <v>6214.285714285715</v>
      </c>
      <c r="Q60" s="374">
        <f>IF(SUM(H60:I60)&gt;0,(P60-O60),0)</f>
        <v>857.1428571428578</v>
      </c>
      <c r="R60" s="374">
        <f>IF(SUM(H60:I60)&gt;0,((M60-Q60)*20/100),0)</f>
        <v>1428.5714285714284</v>
      </c>
      <c r="S60" s="385">
        <f>G60-L60-Q60</f>
        <v>7142.857142857142</v>
      </c>
      <c r="T60" s="366">
        <v>5714.285714285714</v>
      </c>
    </row>
    <row r="61" spans="1:20" ht="12.75" outlineLevel="2">
      <c r="A61" s="80">
        <v>41289</v>
      </c>
      <c r="B61" s="376" t="s">
        <v>174</v>
      </c>
      <c r="C61" s="377" t="s">
        <v>260</v>
      </c>
      <c r="D61" s="378">
        <v>260</v>
      </c>
      <c r="E61" s="387">
        <v>600</v>
      </c>
      <c r="F61" s="380">
        <v>270</v>
      </c>
      <c r="G61" s="381">
        <f>F61*E61</f>
        <v>162000</v>
      </c>
      <c r="H61" s="382"/>
      <c r="I61" s="375"/>
      <c r="J61" s="380">
        <v>0</v>
      </c>
      <c r="K61" s="375" t="s">
        <v>231</v>
      </c>
      <c r="L61" s="383">
        <f>E61*D61</f>
        <v>156000</v>
      </c>
      <c r="M61" s="383">
        <f>G61-L61</f>
        <v>6000</v>
      </c>
      <c r="N61" s="277">
        <f>M61/G61</f>
        <v>0.037037037037037035</v>
      </c>
      <c r="O61" s="383">
        <f>(E61*D61)/112*12</f>
        <v>16714.285714285714</v>
      </c>
      <c r="P61" s="383">
        <f>G61/112*12</f>
        <v>17357.142857142855</v>
      </c>
      <c r="Q61" s="374">
        <f>IF(SUM(H61:I61)&gt;0,(P61-O61),0)</f>
        <v>0</v>
      </c>
      <c r="R61" s="374">
        <f>IF(SUM(H61:I61)&gt;0,((M61-Q61)*20/100),0)</f>
        <v>0</v>
      </c>
      <c r="S61" s="385">
        <f>G61-L61-Q61</f>
        <v>6000</v>
      </c>
      <c r="T61" s="366">
        <v>22200</v>
      </c>
    </row>
    <row r="62" spans="1:21" s="444" customFormat="1" ht="12.75" outlineLevel="1">
      <c r="A62" s="433"/>
      <c r="B62" s="447" t="s">
        <v>281</v>
      </c>
      <c r="C62" s="436"/>
      <c r="D62" s="437">
        <f>SUBTOTAL(9,D60:D61)</f>
        <v>760</v>
      </c>
      <c r="E62" s="473">
        <f>SUBTOTAL(9,E60:E61)</f>
        <v>700</v>
      </c>
      <c r="F62" s="439"/>
      <c r="G62" s="440">
        <f>SUBTOTAL(9,G60:G61)</f>
        <v>220000</v>
      </c>
      <c r="H62" s="441">
        <f>SUBTOTAL(9,H60:H61)</f>
        <v>0</v>
      </c>
      <c r="I62" s="434">
        <f>SUBTOTAL(9,I60:I61)</f>
        <v>222900</v>
      </c>
      <c r="J62" s="439">
        <v>222900</v>
      </c>
      <c r="K62" s="434" t="s">
        <v>231</v>
      </c>
      <c r="L62" s="442">
        <f>SUBTOTAL(9,L60:L61)</f>
        <v>206000</v>
      </c>
      <c r="M62" s="442">
        <f>SUBTOTAL(9,M60:M61)</f>
        <v>14000</v>
      </c>
      <c r="N62" s="443"/>
      <c r="O62" s="442"/>
      <c r="P62" s="442"/>
      <c r="Q62" s="444">
        <f>SUBTOTAL(9,Q60:Q61)</f>
        <v>857.1428571428578</v>
      </c>
      <c r="R62" s="444">
        <f>SUBTOTAL(9,R60:R61)</f>
        <v>1428.5714285714284</v>
      </c>
      <c r="S62" s="445">
        <f>SUBTOTAL(9,S60:S61)</f>
        <v>13142.857142857141</v>
      </c>
      <c r="T62" s="446">
        <v>27914.285714285714</v>
      </c>
      <c r="U62" s="446"/>
    </row>
    <row r="63" spans="1:20" ht="25.5" outlineLevel="2">
      <c r="A63" s="80">
        <v>41299</v>
      </c>
      <c r="B63" s="376" t="s">
        <v>455</v>
      </c>
      <c r="C63" s="384" t="s">
        <v>456</v>
      </c>
      <c r="D63" s="378">
        <v>2400</v>
      </c>
      <c r="E63" s="387">
        <v>1</v>
      </c>
      <c r="F63" s="380">
        <v>3500</v>
      </c>
      <c r="G63" s="381">
        <f>F63*E63</f>
        <v>3500</v>
      </c>
      <c r="H63" s="382"/>
      <c r="I63" s="375"/>
      <c r="J63" s="380">
        <v>3500</v>
      </c>
      <c r="K63" s="375" t="s">
        <v>84</v>
      </c>
      <c r="L63" s="383">
        <f>E63*D63</f>
        <v>2400</v>
      </c>
      <c r="M63" s="383">
        <f>G63-L63</f>
        <v>1100</v>
      </c>
      <c r="N63" s="277">
        <f>M63/G63</f>
        <v>0.3142857142857143</v>
      </c>
      <c r="O63" s="383">
        <f>(E63*D63)/112*12</f>
        <v>257.1428571428571</v>
      </c>
      <c r="P63" s="383">
        <f>G63/112*12</f>
        <v>375</v>
      </c>
      <c r="Q63" s="374">
        <f>IF(SUM(H63:I63)&gt;0,(P63-O63),0)</f>
        <v>0</v>
      </c>
      <c r="R63" s="374">
        <f>IF(SUM(H63:I63)&gt;0,((M63-Q63)*20/100),0)</f>
        <v>0</v>
      </c>
      <c r="S63" s="385">
        <f>G63-L63-Q63</f>
        <v>1100</v>
      </c>
      <c r="T63" s="366">
        <v>1100</v>
      </c>
    </row>
    <row r="64" spans="1:20" ht="25.5" outlineLevel="2">
      <c r="A64" s="80">
        <v>41299</v>
      </c>
      <c r="B64" s="376" t="s">
        <v>455</v>
      </c>
      <c r="C64" s="384" t="s">
        <v>415</v>
      </c>
      <c r="D64" s="378">
        <v>160</v>
      </c>
      <c r="E64" s="387">
        <v>10</v>
      </c>
      <c r="F64" s="380">
        <v>200</v>
      </c>
      <c r="G64" s="381">
        <f>F64*E64</f>
        <v>2000</v>
      </c>
      <c r="H64" s="382"/>
      <c r="I64" s="375"/>
      <c r="J64" s="380">
        <v>2000</v>
      </c>
      <c r="K64" s="375" t="s">
        <v>84</v>
      </c>
      <c r="L64" s="383">
        <f>E64*D64</f>
        <v>1600</v>
      </c>
      <c r="M64" s="383">
        <f>G64-L64</f>
        <v>400</v>
      </c>
      <c r="N64" s="277">
        <f>M64/G64</f>
        <v>0.2</v>
      </c>
      <c r="O64" s="383">
        <f>(E64*D64)/112*12</f>
        <v>171.42857142857144</v>
      </c>
      <c r="P64" s="383">
        <f>G64/112*12</f>
        <v>214.28571428571428</v>
      </c>
      <c r="Q64" s="374">
        <f>IF(SUM(H64:I64)&gt;0,(P64-O64),0)</f>
        <v>0</v>
      </c>
      <c r="R64" s="374">
        <f>IF(SUM(H64:I64)&gt;0,((M64-Q64)*20/100),0)</f>
        <v>0</v>
      </c>
      <c r="S64" s="385">
        <f>G64-L64-Q64</f>
        <v>400</v>
      </c>
      <c r="T64" s="366">
        <v>400</v>
      </c>
    </row>
    <row r="65" spans="1:20" ht="25.5" outlineLevel="2">
      <c r="A65" s="80">
        <v>41299</v>
      </c>
      <c r="B65" s="376" t="s">
        <v>455</v>
      </c>
      <c r="C65" s="377" t="s">
        <v>457</v>
      </c>
      <c r="D65" s="378">
        <v>24000</v>
      </c>
      <c r="E65" s="387">
        <v>1</v>
      </c>
      <c r="F65" s="380">
        <v>30000</v>
      </c>
      <c r="G65" s="381">
        <f>F65*E65</f>
        <v>30000</v>
      </c>
      <c r="H65" s="382"/>
      <c r="I65" s="375"/>
      <c r="J65" s="380">
        <v>30000</v>
      </c>
      <c r="K65" s="375" t="s">
        <v>84</v>
      </c>
      <c r="L65" s="383">
        <f>E65*D65</f>
        <v>24000</v>
      </c>
      <c r="M65" s="383">
        <f>G65-L65</f>
        <v>6000</v>
      </c>
      <c r="N65" s="277">
        <f>M65/G65</f>
        <v>0.2</v>
      </c>
      <c r="O65" s="383">
        <f>(E65*D65)/112*12</f>
        <v>2571.4285714285716</v>
      </c>
      <c r="P65" s="383">
        <f>G65/112*12</f>
        <v>3214.2857142857138</v>
      </c>
      <c r="Q65" s="374">
        <f>IF(SUM(H65:I65)&gt;0,(P65-O65),0)</f>
        <v>0</v>
      </c>
      <c r="R65" s="374">
        <f>IF(SUM(H65:I65)&gt;0,((M65-Q65)*20/100),0)</f>
        <v>0</v>
      </c>
      <c r="S65" s="385">
        <f>G65-L65-Q65</f>
        <v>6000</v>
      </c>
      <c r="T65" s="366">
        <v>6000</v>
      </c>
    </row>
    <row r="66" spans="1:20" ht="25.5" outlineLevel="2">
      <c r="A66" s="80">
        <v>41299</v>
      </c>
      <c r="B66" s="376" t="s">
        <v>455</v>
      </c>
      <c r="C66" s="377" t="s">
        <v>458</v>
      </c>
      <c r="D66" s="378">
        <v>1300</v>
      </c>
      <c r="E66" s="387">
        <v>1</v>
      </c>
      <c r="F66" s="380">
        <v>1400</v>
      </c>
      <c r="G66" s="381">
        <f>F66*E66</f>
        <v>1400</v>
      </c>
      <c r="H66" s="382"/>
      <c r="I66" s="375"/>
      <c r="J66" s="380">
        <v>1400</v>
      </c>
      <c r="K66" s="375" t="s">
        <v>84</v>
      </c>
      <c r="L66" s="383">
        <f>E66*D66</f>
        <v>1300</v>
      </c>
      <c r="M66" s="383">
        <f>G66-L66</f>
        <v>100</v>
      </c>
      <c r="N66" s="277">
        <f>M66/G66</f>
        <v>0.07142857142857142</v>
      </c>
      <c r="O66" s="383">
        <f>(E66*D66)/112*12</f>
        <v>139.28571428571428</v>
      </c>
      <c r="P66" s="383">
        <f>G66/112*12</f>
        <v>150</v>
      </c>
      <c r="Q66" s="374">
        <f>IF(SUM(H66:I66)&gt;0,(P66-O66),0)</f>
        <v>0</v>
      </c>
      <c r="R66" s="374">
        <f>IF(SUM(H66:I66)&gt;0,((M66-Q66)*20/100),0)</f>
        <v>0</v>
      </c>
      <c r="S66" s="385">
        <f>G66-L66-Q66</f>
        <v>100</v>
      </c>
      <c r="T66" s="366">
        <v>280</v>
      </c>
    </row>
    <row r="67" spans="1:21" s="444" customFormat="1" ht="25.5" outlineLevel="1">
      <c r="A67" s="433"/>
      <c r="B67" s="447" t="s">
        <v>477</v>
      </c>
      <c r="C67" s="436"/>
      <c r="D67" s="437">
        <f>SUBTOTAL(9,D63:D66)</f>
        <v>27860</v>
      </c>
      <c r="E67" s="473">
        <f>SUBTOTAL(9,E63:E66)</f>
        <v>13</v>
      </c>
      <c r="F67" s="439"/>
      <c r="G67" s="440">
        <f>SUBTOTAL(9,G63:G66)</f>
        <v>36900</v>
      </c>
      <c r="H67" s="441">
        <f>SUBTOTAL(9,H63:H66)</f>
        <v>0</v>
      </c>
      <c r="I67" s="434">
        <f>SUBTOTAL(9,I63:I66)</f>
        <v>0</v>
      </c>
      <c r="J67" s="439">
        <v>36900</v>
      </c>
      <c r="K67" s="434" t="s">
        <v>84</v>
      </c>
      <c r="L67" s="442">
        <f>SUBTOTAL(9,L63:L66)</f>
        <v>29300</v>
      </c>
      <c r="M67" s="442">
        <f>SUBTOTAL(9,M63:M66)</f>
        <v>7600</v>
      </c>
      <c r="N67" s="443"/>
      <c r="O67" s="442"/>
      <c r="P67" s="442"/>
      <c r="Q67" s="444">
        <f>SUBTOTAL(9,Q63:Q66)</f>
        <v>0</v>
      </c>
      <c r="R67" s="444">
        <f>SUBTOTAL(9,R63:R66)</f>
        <v>0</v>
      </c>
      <c r="S67" s="445">
        <f>SUBTOTAL(9,S63:S66)</f>
        <v>7600</v>
      </c>
      <c r="T67" s="446">
        <v>7780</v>
      </c>
      <c r="U67" s="446"/>
    </row>
    <row r="68" spans="1:20" ht="18" customHeight="1" outlineLevel="2" thickBot="1">
      <c r="A68" s="80">
        <v>41304</v>
      </c>
      <c r="B68" s="376" t="s">
        <v>297</v>
      </c>
      <c r="C68" s="407" t="s">
        <v>432</v>
      </c>
      <c r="D68" s="378">
        <v>53</v>
      </c>
      <c r="E68" s="387">
        <v>5</v>
      </c>
      <c r="F68" s="380">
        <v>74</v>
      </c>
      <c r="G68" s="381">
        <f aca="true" t="shared" si="12" ref="G68:G75">F68*E68</f>
        <v>370</v>
      </c>
      <c r="H68" s="382"/>
      <c r="I68" s="375">
        <v>370</v>
      </c>
      <c r="J68" s="380">
        <f aca="true" t="shared" si="13" ref="J68:J75">SUM(H68:I68)</f>
        <v>370</v>
      </c>
      <c r="K68" s="375" t="s">
        <v>84</v>
      </c>
      <c r="L68" s="383">
        <f aca="true" t="shared" si="14" ref="L68:L75">E68*D68</f>
        <v>265</v>
      </c>
      <c r="M68" s="383">
        <f aca="true" t="shared" si="15" ref="M68:M75">G68-L68</f>
        <v>105</v>
      </c>
      <c r="N68" s="277">
        <f aca="true" t="shared" si="16" ref="N68:N75">M68/G68</f>
        <v>0.28378378378378377</v>
      </c>
      <c r="O68" s="383">
        <f aca="true" t="shared" si="17" ref="O68:O75">(E68*D68)/112*12</f>
        <v>28.39285714285714</v>
      </c>
      <c r="P68" s="383">
        <f aca="true" t="shared" si="18" ref="P68:P75">G68/112*12</f>
        <v>39.64285714285714</v>
      </c>
      <c r="Q68" s="374">
        <f aca="true" t="shared" si="19" ref="Q68:Q75">IF(SUM(H68:I68)&gt;0,(P68-O68),0)</f>
        <v>11.25</v>
      </c>
      <c r="R68" s="374">
        <f aca="true" t="shared" si="20" ref="R68:R75">IF(SUM(H68:I68)&gt;0,((M68-Q68)*20/100),0)</f>
        <v>18.75</v>
      </c>
      <c r="S68" s="385">
        <f aca="true" t="shared" si="21" ref="S68:S75">G68-L68-Q68</f>
        <v>93.75</v>
      </c>
      <c r="T68" s="366">
        <f aca="true" t="shared" si="22" ref="T68:T75">S68-R68</f>
        <v>75</v>
      </c>
    </row>
    <row r="69" spans="1:20" ht="18" customHeight="1" thickBot="1">
      <c r="A69" s="80">
        <v>41304</v>
      </c>
      <c r="B69" s="376" t="s">
        <v>297</v>
      </c>
      <c r="C69" s="407" t="s">
        <v>152</v>
      </c>
      <c r="D69" s="378">
        <v>220</v>
      </c>
      <c r="E69" s="387">
        <v>2</v>
      </c>
      <c r="F69" s="380">
        <v>344</v>
      </c>
      <c r="G69" s="381">
        <f t="shared" si="12"/>
        <v>688</v>
      </c>
      <c r="H69" s="382"/>
      <c r="I69" s="375">
        <v>688</v>
      </c>
      <c r="J69" s="380">
        <f t="shared" si="13"/>
        <v>688</v>
      </c>
      <c r="K69" s="375" t="s">
        <v>84</v>
      </c>
      <c r="L69" s="383">
        <f t="shared" si="14"/>
        <v>440</v>
      </c>
      <c r="M69" s="383">
        <f t="shared" si="15"/>
        <v>248</v>
      </c>
      <c r="N69" s="277">
        <f t="shared" si="16"/>
        <v>0.36046511627906974</v>
      </c>
      <c r="O69" s="383">
        <f t="shared" si="17"/>
        <v>47.14285714285714</v>
      </c>
      <c r="P69" s="383">
        <f t="shared" si="18"/>
        <v>73.71428571428572</v>
      </c>
      <c r="Q69" s="374">
        <f t="shared" si="19"/>
        <v>26.571428571428584</v>
      </c>
      <c r="R69" s="374">
        <f t="shared" si="20"/>
        <v>44.285714285714285</v>
      </c>
      <c r="S69" s="385">
        <f t="shared" si="21"/>
        <v>221.42857142857142</v>
      </c>
      <c r="T69" s="366">
        <f t="shared" si="22"/>
        <v>177.14285714285714</v>
      </c>
    </row>
    <row r="70" spans="1:20" ht="27" customHeight="1" thickBot="1">
      <c r="A70" s="80">
        <v>41304</v>
      </c>
      <c r="B70" s="376" t="s">
        <v>297</v>
      </c>
      <c r="C70" s="407" t="s">
        <v>175</v>
      </c>
      <c r="D70" s="378">
        <v>29</v>
      </c>
      <c r="E70" s="387">
        <v>50</v>
      </c>
      <c r="F70" s="380">
        <v>44</v>
      </c>
      <c r="G70" s="381">
        <f t="shared" si="12"/>
        <v>2200</v>
      </c>
      <c r="H70" s="382"/>
      <c r="I70" s="375">
        <v>2200</v>
      </c>
      <c r="J70" s="380">
        <f t="shared" si="13"/>
        <v>2200</v>
      </c>
      <c r="K70" s="375" t="s">
        <v>84</v>
      </c>
      <c r="L70" s="383">
        <f t="shared" si="14"/>
        <v>1450</v>
      </c>
      <c r="M70" s="383">
        <f t="shared" si="15"/>
        <v>750</v>
      </c>
      <c r="N70" s="277">
        <f t="shared" si="16"/>
        <v>0.3409090909090909</v>
      </c>
      <c r="O70" s="383">
        <f t="shared" si="17"/>
        <v>155.35714285714286</v>
      </c>
      <c r="P70" s="383">
        <f t="shared" si="18"/>
        <v>235.71428571428572</v>
      </c>
      <c r="Q70" s="374">
        <f t="shared" si="19"/>
        <v>80.35714285714286</v>
      </c>
      <c r="R70" s="374">
        <f t="shared" si="20"/>
        <v>133.92857142857142</v>
      </c>
      <c r="S70" s="385">
        <f t="shared" si="21"/>
        <v>669.6428571428571</v>
      </c>
      <c r="T70" s="366">
        <f t="shared" si="22"/>
        <v>535.7142857142857</v>
      </c>
    </row>
    <row r="71" spans="1:20" ht="16.5" customHeight="1" thickBot="1">
      <c r="A71" s="80">
        <v>41304</v>
      </c>
      <c r="B71" s="376" t="s">
        <v>297</v>
      </c>
      <c r="C71" s="407" t="s">
        <v>433</v>
      </c>
      <c r="D71" s="378">
        <v>550</v>
      </c>
      <c r="E71" s="387">
        <v>1</v>
      </c>
      <c r="F71" s="380">
        <v>1300</v>
      </c>
      <c r="G71" s="381">
        <f t="shared" si="12"/>
        <v>1300</v>
      </c>
      <c r="H71" s="382"/>
      <c r="I71" s="375">
        <v>1300</v>
      </c>
      <c r="J71" s="380">
        <f t="shared" si="13"/>
        <v>1300</v>
      </c>
      <c r="K71" s="375" t="s">
        <v>84</v>
      </c>
      <c r="L71" s="383">
        <f t="shared" si="14"/>
        <v>550</v>
      </c>
      <c r="M71" s="383">
        <f t="shared" si="15"/>
        <v>750</v>
      </c>
      <c r="N71" s="277">
        <f t="shared" si="16"/>
        <v>0.5769230769230769</v>
      </c>
      <c r="O71" s="383">
        <f t="shared" si="17"/>
        <v>58.92857142857143</v>
      </c>
      <c r="P71" s="383">
        <f t="shared" si="18"/>
        <v>139.28571428571428</v>
      </c>
      <c r="Q71" s="374">
        <f t="shared" si="19"/>
        <v>80.35714285714285</v>
      </c>
      <c r="R71" s="374">
        <f t="shared" si="20"/>
        <v>133.92857142857142</v>
      </c>
      <c r="S71" s="385">
        <f t="shared" si="21"/>
        <v>669.6428571428571</v>
      </c>
      <c r="T71" s="366">
        <f t="shared" si="22"/>
        <v>535.7142857142857</v>
      </c>
    </row>
    <row r="72" spans="1:20" ht="16.5" customHeight="1" thickBot="1">
      <c r="A72" s="80">
        <v>41304</v>
      </c>
      <c r="B72" s="376" t="s">
        <v>297</v>
      </c>
      <c r="C72" s="407" t="s">
        <v>169</v>
      </c>
      <c r="D72" s="378">
        <v>80</v>
      </c>
      <c r="E72" s="387">
        <v>10</v>
      </c>
      <c r="F72" s="380">
        <v>175</v>
      </c>
      <c r="G72" s="381">
        <f t="shared" si="12"/>
        <v>1750</v>
      </c>
      <c r="H72" s="382"/>
      <c r="I72" s="375">
        <v>1750</v>
      </c>
      <c r="J72" s="380">
        <f t="shared" si="13"/>
        <v>1750</v>
      </c>
      <c r="K72" s="375" t="s">
        <v>84</v>
      </c>
      <c r="L72" s="383">
        <f t="shared" si="14"/>
        <v>800</v>
      </c>
      <c r="M72" s="383">
        <f t="shared" si="15"/>
        <v>950</v>
      </c>
      <c r="N72" s="277">
        <f t="shared" si="16"/>
        <v>0.5428571428571428</v>
      </c>
      <c r="O72" s="383">
        <f t="shared" si="17"/>
        <v>85.71428571428572</v>
      </c>
      <c r="P72" s="383">
        <f t="shared" si="18"/>
        <v>187.5</v>
      </c>
      <c r="Q72" s="374">
        <f t="shared" si="19"/>
        <v>101.78571428571428</v>
      </c>
      <c r="R72" s="374">
        <f t="shared" si="20"/>
        <v>169.64285714285717</v>
      </c>
      <c r="S72" s="385">
        <f t="shared" si="21"/>
        <v>848.2142857142858</v>
      </c>
      <c r="T72" s="366">
        <f t="shared" si="22"/>
        <v>678.5714285714287</v>
      </c>
    </row>
    <row r="73" spans="1:20" ht="16.5" customHeight="1" thickBot="1">
      <c r="A73" s="80">
        <v>41304</v>
      </c>
      <c r="B73" s="376" t="s">
        <v>297</v>
      </c>
      <c r="C73" s="407" t="s">
        <v>434</v>
      </c>
      <c r="D73" s="378">
        <f>1155/7</f>
        <v>165</v>
      </c>
      <c r="E73" s="387">
        <v>7</v>
      </c>
      <c r="F73" s="380">
        <v>220</v>
      </c>
      <c r="G73" s="381">
        <f t="shared" si="12"/>
        <v>1540</v>
      </c>
      <c r="H73" s="382"/>
      <c r="I73" s="375">
        <v>1540</v>
      </c>
      <c r="J73" s="380">
        <f t="shared" si="13"/>
        <v>1540</v>
      </c>
      <c r="K73" s="375" t="s">
        <v>84</v>
      </c>
      <c r="L73" s="383">
        <f t="shared" si="14"/>
        <v>1155</v>
      </c>
      <c r="M73" s="383">
        <f t="shared" si="15"/>
        <v>385</v>
      </c>
      <c r="N73" s="277">
        <f t="shared" si="16"/>
        <v>0.25</v>
      </c>
      <c r="O73" s="383">
        <f t="shared" si="17"/>
        <v>123.75</v>
      </c>
      <c r="P73" s="383">
        <f t="shared" si="18"/>
        <v>165</v>
      </c>
      <c r="Q73" s="374">
        <f t="shared" si="19"/>
        <v>41.25</v>
      </c>
      <c r="R73" s="374">
        <f t="shared" si="20"/>
        <v>68.75</v>
      </c>
      <c r="S73" s="385">
        <f t="shared" si="21"/>
        <v>343.75</v>
      </c>
      <c r="T73" s="366">
        <f t="shared" si="22"/>
        <v>275</v>
      </c>
    </row>
    <row r="74" spans="1:20" ht="16.5" customHeight="1" thickBot="1">
      <c r="A74" s="80">
        <v>41304</v>
      </c>
      <c r="B74" s="376" t="s">
        <v>297</v>
      </c>
      <c r="C74" s="407" t="s">
        <v>435</v>
      </c>
      <c r="D74" s="378">
        <v>127</v>
      </c>
      <c r="E74" s="387">
        <v>7</v>
      </c>
      <c r="F74" s="380">
        <v>175</v>
      </c>
      <c r="G74" s="381">
        <f t="shared" si="12"/>
        <v>1225</v>
      </c>
      <c r="H74" s="382"/>
      <c r="I74" s="375">
        <v>1225</v>
      </c>
      <c r="J74" s="380">
        <f t="shared" si="13"/>
        <v>1225</v>
      </c>
      <c r="K74" s="375" t="s">
        <v>84</v>
      </c>
      <c r="L74" s="383">
        <f t="shared" si="14"/>
        <v>889</v>
      </c>
      <c r="M74" s="383">
        <f t="shared" si="15"/>
        <v>336</v>
      </c>
      <c r="N74" s="277">
        <f t="shared" si="16"/>
        <v>0.2742857142857143</v>
      </c>
      <c r="O74" s="383">
        <f t="shared" si="17"/>
        <v>95.25</v>
      </c>
      <c r="P74" s="383">
        <f t="shared" si="18"/>
        <v>131.25</v>
      </c>
      <c r="Q74" s="374">
        <f t="shared" si="19"/>
        <v>36</v>
      </c>
      <c r="R74" s="374">
        <f t="shared" si="20"/>
        <v>60</v>
      </c>
      <c r="S74" s="385">
        <f t="shared" si="21"/>
        <v>300</v>
      </c>
      <c r="T74" s="366">
        <f t="shared" si="22"/>
        <v>240</v>
      </c>
    </row>
    <row r="75" spans="1:20" ht="28.5" customHeight="1" thickBot="1">
      <c r="A75" s="80">
        <v>41304</v>
      </c>
      <c r="B75" s="376" t="s">
        <v>297</v>
      </c>
      <c r="C75" s="407" t="s">
        <v>436</v>
      </c>
      <c r="D75" s="378">
        <v>152</v>
      </c>
      <c r="E75" s="387">
        <v>6</v>
      </c>
      <c r="F75" s="380">
        <v>378</v>
      </c>
      <c r="G75" s="381">
        <f t="shared" si="12"/>
        <v>2268</v>
      </c>
      <c r="H75" s="382"/>
      <c r="I75" s="375">
        <v>2268</v>
      </c>
      <c r="J75" s="380">
        <f t="shared" si="13"/>
        <v>2268</v>
      </c>
      <c r="K75" s="375" t="s">
        <v>84</v>
      </c>
      <c r="L75" s="383">
        <f t="shared" si="14"/>
        <v>912</v>
      </c>
      <c r="M75" s="383">
        <f t="shared" si="15"/>
        <v>1356</v>
      </c>
      <c r="N75" s="277">
        <f t="shared" si="16"/>
        <v>0.5978835978835979</v>
      </c>
      <c r="O75" s="383">
        <f t="shared" si="17"/>
        <v>97.71428571428571</v>
      </c>
      <c r="P75" s="383">
        <f t="shared" si="18"/>
        <v>243</v>
      </c>
      <c r="Q75" s="374">
        <f t="shared" si="19"/>
        <v>145.28571428571428</v>
      </c>
      <c r="R75" s="374">
        <f t="shared" si="20"/>
        <v>242.14285714285717</v>
      </c>
      <c r="S75" s="385">
        <f t="shared" si="21"/>
        <v>1210.7142857142858</v>
      </c>
      <c r="T75" s="366">
        <f t="shared" si="22"/>
        <v>968.5714285714287</v>
      </c>
    </row>
    <row r="76" spans="1:21" s="444" customFormat="1" ht="12.75" outlineLevel="1">
      <c r="A76" s="433"/>
      <c r="B76" s="447" t="s">
        <v>328</v>
      </c>
      <c r="C76" s="436"/>
      <c r="D76" s="437">
        <f>SUBTOTAL(9,D68:D75)</f>
        <v>1376</v>
      </c>
      <c r="E76" s="473">
        <f>SUBTOTAL(9,E68:E75)</f>
        <v>88</v>
      </c>
      <c r="F76" s="439">
        <f>SUBTOTAL(9,F68:F75)</f>
        <v>2710</v>
      </c>
      <c r="G76" s="440">
        <f>SUBTOTAL(9,G68:G75)</f>
        <v>11341</v>
      </c>
      <c r="H76" s="441">
        <f aca="true" t="shared" si="23" ref="H76:T76">SUBTOTAL(9,H68:H75)</f>
        <v>0</v>
      </c>
      <c r="I76" s="434">
        <f t="shared" si="23"/>
        <v>11341</v>
      </c>
      <c r="J76" s="439">
        <f t="shared" si="23"/>
        <v>11341</v>
      </c>
      <c r="K76" s="434" t="s">
        <v>84</v>
      </c>
      <c r="L76" s="442">
        <f t="shared" si="23"/>
        <v>6461</v>
      </c>
      <c r="M76" s="442">
        <f t="shared" si="23"/>
        <v>4880</v>
      </c>
      <c r="N76" s="443">
        <f t="shared" si="23"/>
        <v>3.227107522921476</v>
      </c>
      <c r="O76" s="442">
        <f t="shared" si="23"/>
        <v>692.2499999999999</v>
      </c>
      <c r="P76" s="442">
        <f t="shared" si="23"/>
        <v>1215.107142857143</v>
      </c>
      <c r="Q76" s="444">
        <f t="shared" si="23"/>
        <v>522.8571428571429</v>
      </c>
      <c r="R76" s="444">
        <f t="shared" si="23"/>
        <v>871.4285714285713</v>
      </c>
      <c r="S76" s="445">
        <f t="shared" si="23"/>
        <v>4357.142857142857</v>
      </c>
      <c r="T76" s="446">
        <f t="shared" si="23"/>
        <v>3485.7142857142853</v>
      </c>
      <c r="U76" s="446"/>
    </row>
    <row r="77" spans="2:20" ht="12.75" outlineLevel="2">
      <c r="B77" s="376" t="s">
        <v>463</v>
      </c>
      <c r="C77" s="377"/>
      <c r="D77" s="378"/>
      <c r="E77" s="387"/>
      <c r="F77" s="380"/>
      <c r="G77" s="381"/>
      <c r="H77" s="382">
        <v>12500</v>
      </c>
      <c r="I77" s="375"/>
      <c r="J77" s="380">
        <v>12500</v>
      </c>
      <c r="K77" s="375" t="s">
        <v>84</v>
      </c>
      <c r="L77" s="383">
        <f>E77*D77</f>
        <v>0</v>
      </c>
      <c r="M77" s="383">
        <f>G77-L77</f>
        <v>0</v>
      </c>
      <c r="N77" s="277" t="e">
        <f>M77/G77</f>
        <v>#DIV/0!</v>
      </c>
      <c r="O77" s="383">
        <f>(E77*D77)/112*12</f>
        <v>0</v>
      </c>
      <c r="P77" s="383">
        <f>G77/112*12</f>
        <v>0</v>
      </c>
      <c r="Q77" s="374">
        <f>IF(SUM(H77:I77)&gt;0,(P77-O77),0)</f>
        <v>0</v>
      </c>
      <c r="R77" s="374">
        <f>IF(SUM(H77:I77)&gt;0,((M77-Q77)*20/100),0)</f>
        <v>0</v>
      </c>
      <c r="S77" s="385">
        <f>G77-L77-Q77</f>
        <v>0</v>
      </c>
      <c r="T77" s="366">
        <v>0</v>
      </c>
    </row>
    <row r="78" spans="1:21" s="444" customFormat="1" ht="12.75" outlineLevel="1">
      <c r="A78" s="433"/>
      <c r="B78" s="447" t="s">
        <v>478</v>
      </c>
      <c r="C78" s="436"/>
      <c r="D78" s="437">
        <f>SUBTOTAL(9,D77:D77)</f>
        <v>0</v>
      </c>
      <c r="E78" s="473">
        <f>SUBTOTAL(9,E77:E77)</f>
        <v>0</v>
      </c>
      <c r="F78" s="439"/>
      <c r="G78" s="440">
        <f>SUBTOTAL(9,G77:G77)</f>
        <v>0</v>
      </c>
      <c r="H78" s="441">
        <f>SUBTOTAL(9,H77:H77)</f>
        <v>12500</v>
      </c>
      <c r="I78" s="434">
        <f>SUBTOTAL(9,I77:I77)</f>
        <v>0</v>
      </c>
      <c r="J78" s="439">
        <v>12500</v>
      </c>
      <c r="K78" s="434" t="s">
        <v>84</v>
      </c>
      <c r="L78" s="442">
        <f>SUBTOTAL(9,L77:L77)</f>
        <v>0</v>
      </c>
      <c r="M78" s="442">
        <f>SUBTOTAL(9,M77:M77)</f>
        <v>0</v>
      </c>
      <c r="N78" s="443"/>
      <c r="O78" s="442"/>
      <c r="P78" s="442"/>
      <c r="Q78" s="444">
        <f>SUBTOTAL(9,Q77:Q77)</f>
        <v>0</v>
      </c>
      <c r="R78" s="444">
        <f>SUBTOTAL(9,R77:R77)</f>
        <v>0</v>
      </c>
      <c r="S78" s="445">
        <f>SUBTOTAL(9,S77:S77)</f>
        <v>0</v>
      </c>
      <c r="T78" s="446">
        <v>0</v>
      </c>
      <c r="U78" s="446"/>
    </row>
    <row r="79" spans="1:20" ht="16.5" customHeight="1" thickBot="1">
      <c r="A79" s="80">
        <v>41250</v>
      </c>
      <c r="B79" s="376" t="s">
        <v>381</v>
      </c>
      <c r="C79" s="430" t="s">
        <v>365</v>
      </c>
      <c r="D79" s="378">
        <v>150</v>
      </c>
      <c r="E79" s="387">
        <v>35</v>
      </c>
      <c r="F79" s="380">
        <v>200</v>
      </c>
      <c r="G79" s="381">
        <f>F79*E79</f>
        <v>7000</v>
      </c>
      <c r="H79" s="382"/>
      <c r="I79" s="375">
        <v>7000</v>
      </c>
      <c r="J79" s="380">
        <f>SUM(H79:I79)</f>
        <v>7000</v>
      </c>
      <c r="K79" s="375" t="s">
        <v>84</v>
      </c>
      <c r="L79" s="383">
        <f>E79*D79</f>
        <v>5250</v>
      </c>
      <c r="M79" s="383">
        <f>G79-L79</f>
        <v>1750</v>
      </c>
      <c r="N79" s="277">
        <f>M79/G79</f>
        <v>0.25</v>
      </c>
      <c r="O79" s="383">
        <f>(E79*D79)/112*12</f>
        <v>562.5</v>
      </c>
      <c r="P79" s="383">
        <f>G79/112*12</f>
        <v>750</v>
      </c>
      <c r="Q79" s="374">
        <f>IF(SUM(H79:I79)&gt;0,(P79-O79),0)</f>
        <v>187.5</v>
      </c>
      <c r="R79" s="374">
        <f>IF(SUM(H79:I79)&gt;0,((M79-Q79)*20/100),0)</f>
        <v>312.5</v>
      </c>
      <c r="S79" s="385">
        <f>IF(J79&gt;0,(G79-L79-Q79),0)</f>
        <v>1562.5</v>
      </c>
      <c r="T79" s="366">
        <f>S79-R79</f>
        <v>1250</v>
      </c>
    </row>
    <row r="80" spans="1:20" ht="16.5" customHeight="1" thickBot="1">
      <c r="A80" s="80">
        <v>41250</v>
      </c>
      <c r="B80" s="376" t="s">
        <v>381</v>
      </c>
      <c r="C80" s="407" t="s">
        <v>256</v>
      </c>
      <c r="D80" s="378">
        <v>1000</v>
      </c>
      <c r="E80" s="379">
        <v>10</v>
      </c>
      <c r="F80" s="380">
        <v>1952</v>
      </c>
      <c r="G80" s="381">
        <f>F80*E80</f>
        <v>19520</v>
      </c>
      <c r="H80" s="382"/>
      <c r="I80" s="375">
        <v>19520</v>
      </c>
      <c r="J80" s="380">
        <f>SUM(H80:I80)</f>
        <v>19520</v>
      </c>
      <c r="K80" s="375" t="s">
        <v>84</v>
      </c>
      <c r="L80" s="383">
        <f>E80*D80</f>
        <v>10000</v>
      </c>
      <c r="M80" s="383">
        <f>G80-L80</f>
        <v>9520</v>
      </c>
      <c r="N80" s="277">
        <f>M80/G80</f>
        <v>0.48770491803278687</v>
      </c>
      <c r="O80" s="383">
        <f>(E80*D80)/112*12</f>
        <v>1071.4285714285716</v>
      </c>
      <c r="P80" s="383">
        <f>G80/112*12</f>
        <v>2091.4285714285716</v>
      </c>
      <c r="Q80" s="374">
        <f>IF(SUM(H80:I80)&gt;0,(P80-O80),0)</f>
        <v>1020</v>
      </c>
      <c r="R80" s="374">
        <f>IF(SUM(H80:I80)&gt;0,((M80-Q80)*20/100),0)</f>
        <v>1700</v>
      </c>
      <c r="S80" s="385">
        <f>IF(J80&gt;0,(G80-L80-Q80),0)</f>
        <v>8500</v>
      </c>
      <c r="T80" s="366">
        <f>S80-R80</f>
        <v>6800</v>
      </c>
    </row>
    <row r="81" spans="1:21" s="444" customFormat="1" ht="25.5" outlineLevel="1">
      <c r="A81" s="433"/>
      <c r="B81" s="447" t="s">
        <v>589</v>
      </c>
      <c r="C81" s="436"/>
      <c r="D81" s="437">
        <f>SUBTOTAL(9,D80:D80)</f>
        <v>1000</v>
      </c>
      <c r="E81" s="473">
        <f>SUBTOTAL(9,E79:E80)</f>
        <v>45</v>
      </c>
      <c r="F81" s="439"/>
      <c r="G81" s="440">
        <f aca="true" t="shared" si="24" ref="G81:T81">SUBTOTAL(9,G79:G80)</f>
        <v>26520</v>
      </c>
      <c r="H81" s="441">
        <f t="shared" si="24"/>
        <v>0</v>
      </c>
      <c r="I81" s="434">
        <f t="shared" si="24"/>
        <v>26520</v>
      </c>
      <c r="J81" s="439">
        <f t="shared" si="24"/>
        <v>26520</v>
      </c>
      <c r="K81" s="434" t="s">
        <v>84</v>
      </c>
      <c r="L81" s="442">
        <f t="shared" si="24"/>
        <v>15250</v>
      </c>
      <c r="M81" s="442">
        <f t="shared" si="24"/>
        <v>11270</v>
      </c>
      <c r="N81" s="443">
        <f t="shared" si="24"/>
        <v>0.7377049180327868</v>
      </c>
      <c r="O81" s="442">
        <f t="shared" si="24"/>
        <v>1633.9285714285716</v>
      </c>
      <c r="P81" s="442">
        <f t="shared" si="24"/>
        <v>2841.4285714285716</v>
      </c>
      <c r="Q81" s="444">
        <f t="shared" si="24"/>
        <v>1207.5</v>
      </c>
      <c r="R81" s="444">
        <f t="shared" si="24"/>
        <v>2012.5</v>
      </c>
      <c r="S81" s="445">
        <f t="shared" si="24"/>
        <v>10062.5</v>
      </c>
      <c r="T81" s="446">
        <f t="shared" si="24"/>
        <v>8050</v>
      </c>
      <c r="U81" s="446"/>
    </row>
    <row r="82" spans="1:20" ht="12.75" outlineLevel="2">
      <c r="A82" s="80">
        <v>41250</v>
      </c>
      <c r="B82" s="376" t="s">
        <v>271</v>
      </c>
      <c r="C82" s="377" t="s">
        <v>295</v>
      </c>
      <c r="D82" s="378">
        <v>0</v>
      </c>
      <c r="E82" s="387">
        <v>5</v>
      </c>
      <c r="F82" s="380">
        <v>5428</v>
      </c>
      <c r="G82" s="381">
        <f>F82*E82</f>
        <v>27140</v>
      </c>
      <c r="H82" s="382"/>
      <c r="I82" s="375">
        <v>33200</v>
      </c>
      <c r="J82" s="380">
        <v>33200</v>
      </c>
      <c r="K82" s="375" t="s">
        <v>84</v>
      </c>
      <c r="L82" s="383">
        <f>E82*D82</f>
        <v>0</v>
      </c>
      <c r="M82" s="383">
        <f>G82-L82</f>
        <v>27140</v>
      </c>
      <c r="N82" s="277">
        <f>M82/G82</f>
        <v>1</v>
      </c>
      <c r="O82" s="383">
        <f>(E82*D82)/112*12</f>
        <v>0</v>
      </c>
      <c r="P82" s="383">
        <f>G82/112*12</f>
        <v>2907.857142857143</v>
      </c>
      <c r="Q82" s="374">
        <f>IF(SUM(H82:I82)&gt;0,(P82-O82),0)</f>
        <v>2907.857142857143</v>
      </c>
      <c r="R82" s="374">
        <f>IF(SUM(H82:I82)&gt;0,((M82-Q82)*20/100),0)</f>
        <v>4846.428571428571</v>
      </c>
      <c r="S82" s="385">
        <f>G82-L82-Q82</f>
        <v>24232.142857142855</v>
      </c>
      <c r="T82" s="366">
        <v>19385.714285714283</v>
      </c>
    </row>
    <row r="83" spans="1:21" s="444" customFormat="1" ht="12.75" outlineLevel="1">
      <c r="A83" s="433"/>
      <c r="B83" s="447" t="s">
        <v>329</v>
      </c>
      <c r="C83" s="436"/>
      <c r="D83" s="437">
        <f>SUBTOTAL(9,D82:D82)</f>
        <v>0</v>
      </c>
      <c r="E83" s="473">
        <f>SUBTOTAL(9,E82:E82)</f>
        <v>5</v>
      </c>
      <c r="F83" s="439"/>
      <c r="G83" s="440">
        <f>SUBTOTAL(9,G82:G82)</f>
        <v>27140</v>
      </c>
      <c r="H83" s="441">
        <f>SUBTOTAL(9,H82:H82)</f>
        <v>0</v>
      </c>
      <c r="I83" s="434">
        <f>SUBTOTAL(9,I82:I82)</f>
        <v>33200</v>
      </c>
      <c r="J83" s="439">
        <v>33200</v>
      </c>
      <c r="K83" s="434" t="s">
        <v>84</v>
      </c>
      <c r="L83" s="442">
        <f>SUBTOTAL(9,L82:L82)</f>
        <v>0</v>
      </c>
      <c r="M83" s="442">
        <f>SUBTOTAL(9,M82:M82)</f>
        <v>27140</v>
      </c>
      <c r="N83" s="443"/>
      <c r="O83" s="442"/>
      <c r="P83" s="442"/>
      <c r="Q83" s="444">
        <f>SUBTOTAL(9,Q82:Q82)</f>
        <v>2907.857142857143</v>
      </c>
      <c r="R83" s="444">
        <f>SUBTOTAL(9,R82:R82)</f>
        <v>4846.428571428571</v>
      </c>
      <c r="S83" s="445">
        <f>SUBTOTAL(9,S82:S82)</f>
        <v>24232.142857142855</v>
      </c>
      <c r="T83" s="446">
        <v>19385.714285714283</v>
      </c>
      <c r="U83" s="446"/>
    </row>
    <row r="84" spans="1:20" ht="22.5" customHeight="1" outlineLevel="2">
      <c r="A84" s="80">
        <v>41278</v>
      </c>
      <c r="B84" s="376" t="s">
        <v>425</v>
      </c>
      <c r="C84" s="377" t="s">
        <v>408</v>
      </c>
      <c r="D84" s="378">
        <v>1300</v>
      </c>
      <c r="E84" s="379">
        <v>1</v>
      </c>
      <c r="F84" s="380">
        <v>1400</v>
      </c>
      <c r="G84" s="381">
        <f aca="true" t="shared" si="25" ref="G84:G104">F84*E84</f>
        <v>1400</v>
      </c>
      <c r="H84" s="382"/>
      <c r="I84" s="375"/>
      <c r="J84" s="380">
        <v>1400</v>
      </c>
      <c r="K84" s="375" t="s">
        <v>84</v>
      </c>
      <c r="L84" s="383">
        <f aca="true" t="shared" si="26" ref="L84:L104">E84*D84</f>
        <v>1300</v>
      </c>
      <c r="M84" s="383">
        <f aca="true" t="shared" si="27" ref="M84:M104">G84-L84</f>
        <v>100</v>
      </c>
      <c r="N84" s="277">
        <f aca="true" t="shared" si="28" ref="N84:N104">M84/G84</f>
        <v>0.07142857142857142</v>
      </c>
      <c r="O84" s="383">
        <f aca="true" t="shared" si="29" ref="O84:O104">(E84*D84)/112*12</f>
        <v>139.28571428571428</v>
      </c>
      <c r="P84" s="383">
        <f aca="true" t="shared" si="30" ref="P84:P104">G84/112*12</f>
        <v>150</v>
      </c>
      <c r="Q84" s="374">
        <f aca="true" t="shared" si="31" ref="Q84:Q104">IF(SUM(H84:I84)&gt;0,(P84-O84),0)</f>
        <v>0</v>
      </c>
      <c r="R84" s="374">
        <f aca="true" t="shared" si="32" ref="R84:R104">IF(SUM(H84:I84)&gt;0,((M84-Q84)*20/100),0)</f>
        <v>0</v>
      </c>
      <c r="S84" s="385">
        <f aca="true" t="shared" si="33" ref="S84:S104">G84-L84-Q84</f>
        <v>100</v>
      </c>
      <c r="T84" s="366">
        <v>280</v>
      </c>
    </row>
    <row r="85" spans="1:20" ht="27.75" customHeight="1" outlineLevel="2">
      <c r="A85" s="80">
        <v>41278</v>
      </c>
      <c r="B85" s="376" t="s">
        <v>425</v>
      </c>
      <c r="C85" s="384" t="s">
        <v>409</v>
      </c>
      <c r="D85" s="378">
        <v>1350</v>
      </c>
      <c r="E85" s="387">
        <v>1</v>
      </c>
      <c r="F85" s="380">
        <v>1690</v>
      </c>
      <c r="G85" s="381">
        <f t="shared" si="25"/>
        <v>1690</v>
      </c>
      <c r="H85" s="382"/>
      <c r="I85" s="375"/>
      <c r="J85" s="380">
        <v>1690</v>
      </c>
      <c r="K85" s="375" t="s">
        <v>84</v>
      </c>
      <c r="L85" s="383">
        <f t="shared" si="26"/>
        <v>1350</v>
      </c>
      <c r="M85" s="383">
        <f t="shared" si="27"/>
        <v>340</v>
      </c>
      <c r="N85" s="277">
        <f t="shared" si="28"/>
        <v>0.20118343195266272</v>
      </c>
      <c r="O85" s="383">
        <f t="shared" si="29"/>
        <v>144.64285714285714</v>
      </c>
      <c r="P85" s="383">
        <f t="shared" si="30"/>
        <v>181.07142857142856</v>
      </c>
      <c r="Q85" s="374">
        <f t="shared" si="31"/>
        <v>0</v>
      </c>
      <c r="R85" s="374">
        <f t="shared" si="32"/>
        <v>0</v>
      </c>
      <c r="S85" s="385">
        <f t="shared" si="33"/>
        <v>340</v>
      </c>
      <c r="T85" s="366">
        <v>340</v>
      </c>
    </row>
    <row r="86" spans="1:20" ht="27.75" customHeight="1" outlineLevel="2">
      <c r="A86" s="80">
        <v>41278</v>
      </c>
      <c r="B86" s="376" t="s">
        <v>425</v>
      </c>
      <c r="C86" s="384" t="s">
        <v>398</v>
      </c>
      <c r="D86" s="378">
        <v>1350</v>
      </c>
      <c r="E86" s="387">
        <v>1</v>
      </c>
      <c r="F86" s="380">
        <v>1380</v>
      </c>
      <c r="G86" s="381">
        <f t="shared" si="25"/>
        <v>1380</v>
      </c>
      <c r="H86" s="382"/>
      <c r="I86" s="375"/>
      <c r="J86" s="380">
        <v>1380</v>
      </c>
      <c r="K86" s="375" t="s">
        <v>84</v>
      </c>
      <c r="L86" s="383">
        <f t="shared" si="26"/>
        <v>1350</v>
      </c>
      <c r="M86" s="383">
        <f t="shared" si="27"/>
        <v>30</v>
      </c>
      <c r="N86" s="277">
        <f t="shared" si="28"/>
        <v>0.021739130434782608</v>
      </c>
      <c r="O86" s="383">
        <f t="shared" si="29"/>
        <v>144.64285714285714</v>
      </c>
      <c r="P86" s="383">
        <f t="shared" si="30"/>
        <v>147.85714285714286</v>
      </c>
      <c r="Q86" s="374">
        <f t="shared" si="31"/>
        <v>0</v>
      </c>
      <c r="R86" s="374">
        <f t="shared" si="32"/>
        <v>0</v>
      </c>
      <c r="S86" s="385">
        <f t="shared" si="33"/>
        <v>30</v>
      </c>
      <c r="T86" s="366">
        <v>280</v>
      </c>
    </row>
    <row r="87" spans="1:20" ht="27.75" customHeight="1" outlineLevel="2">
      <c r="A87" s="80">
        <v>41278</v>
      </c>
      <c r="B87" s="376" t="s">
        <v>425</v>
      </c>
      <c r="C87" s="3" t="s">
        <v>410</v>
      </c>
      <c r="D87" s="204">
        <v>850</v>
      </c>
      <c r="E87" s="206">
        <v>10</v>
      </c>
      <c r="F87" s="380">
        <v>900</v>
      </c>
      <c r="G87" s="381">
        <f t="shared" si="25"/>
        <v>9000</v>
      </c>
      <c r="H87" s="382"/>
      <c r="I87" s="375"/>
      <c r="J87" s="380">
        <v>9000</v>
      </c>
      <c r="K87" s="375" t="s">
        <v>84</v>
      </c>
      <c r="L87" s="383">
        <f t="shared" si="26"/>
        <v>8500</v>
      </c>
      <c r="M87" s="383">
        <f t="shared" si="27"/>
        <v>500</v>
      </c>
      <c r="N87" s="277">
        <f t="shared" si="28"/>
        <v>0.05555555555555555</v>
      </c>
      <c r="O87" s="383">
        <f t="shared" si="29"/>
        <v>910.7142857142857</v>
      </c>
      <c r="P87" s="383">
        <f t="shared" si="30"/>
        <v>964.2857142857143</v>
      </c>
      <c r="Q87" s="374">
        <f t="shared" si="31"/>
        <v>0</v>
      </c>
      <c r="R87" s="374">
        <f t="shared" si="32"/>
        <v>0</v>
      </c>
      <c r="S87" s="385">
        <f t="shared" si="33"/>
        <v>500</v>
      </c>
      <c r="T87" s="366">
        <v>1800</v>
      </c>
    </row>
    <row r="88" spans="1:20" ht="12" customHeight="1" outlineLevel="2">
      <c r="A88" s="80">
        <v>41278</v>
      </c>
      <c r="B88" s="376" t="s">
        <v>425</v>
      </c>
      <c r="C88" s="3" t="s">
        <v>396</v>
      </c>
      <c r="D88" s="204">
        <v>550</v>
      </c>
      <c r="E88" s="206">
        <v>1</v>
      </c>
      <c r="F88" s="205">
        <v>950</v>
      </c>
      <c r="G88" s="381">
        <f t="shared" si="25"/>
        <v>950</v>
      </c>
      <c r="H88" s="382"/>
      <c r="I88" s="375"/>
      <c r="J88" s="380">
        <v>950</v>
      </c>
      <c r="K88" s="375" t="s">
        <v>84</v>
      </c>
      <c r="L88" s="383">
        <f t="shared" si="26"/>
        <v>550</v>
      </c>
      <c r="M88" s="383">
        <f t="shared" si="27"/>
        <v>400</v>
      </c>
      <c r="N88" s="277">
        <f t="shared" si="28"/>
        <v>0.42105263157894735</v>
      </c>
      <c r="O88" s="383">
        <f t="shared" si="29"/>
        <v>58.92857142857143</v>
      </c>
      <c r="P88" s="383">
        <f t="shared" si="30"/>
        <v>101.78571428571429</v>
      </c>
      <c r="Q88" s="374">
        <f t="shared" si="31"/>
        <v>0</v>
      </c>
      <c r="R88" s="374">
        <f t="shared" si="32"/>
        <v>0</v>
      </c>
      <c r="S88" s="385">
        <f t="shared" si="33"/>
        <v>400</v>
      </c>
      <c r="T88" s="366">
        <v>370</v>
      </c>
    </row>
    <row r="89" spans="1:20" ht="28.5" customHeight="1" outlineLevel="2">
      <c r="A89" s="80">
        <v>41278</v>
      </c>
      <c r="B89" s="376" t="s">
        <v>425</v>
      </c>
      <c r="C89" s="3" t="s">
        <v>411</v>
      </c>
      <c r="D89" s="204">
        <v>80</v>
      </c>
      <c r="E89" s="206">
        <v>4</v>
      </c>
      <c r="F89" s="205">
        <v>140</v>
      </c>
      <c r="G89" s="381">
        <f t="shared" si="25"/>
        <v>560</v>
      </c>
      <c r="H89" s="382"/>
      <c r="I89" s="375"/>
      <c r="J89" s="380">
        <v>560</v>
      </c>
      <c r="K89" s="375" t="s">
        <v>84</v>
      </c>
      <c r="L89" s="383">
        <f t="shared" si="26"/>
        <v>320</v>
      </c>
      <c r="M89" s="383">
        <f t="shared" si="27"/>
        <v>240</v>
      </c>
      <c r="N89" s="277">
        <f t="shared" si="28"/>
        <v>0.42857142857142855</v>
      </c>
      <c r="O89" s="383">
        <f t="shared" si="29"/>
        <v>34.285714285714285</v>
      </c>
      <c r="P89" s="383">
        <f t="shared" si="30"/>
        <v>60</v>
      </c>
      <c r="Q89" s="374">
        <f t="shared" si="31"/>
        <v>0</v>
      </c>
      <c r="R89" s="374">
        <f t="shared" si="32"/>
        <v>0</v>
      </c>
      <c r="S89" s="385">
        <f t="shared" si="33"/>
        <v>240</v>
      </c>
      <c r="T89" s="366">
        <v>240</v>
      </c>
    </row>
    <row r="90" spans="1:20" ht="28.5" customHeight="1" outlineLevel="2" thickBot="1">
      <c r="A90" s="80">
        <v>41278</v>
      </c>
      <c r="B90" s="376" t="s">
        <v>425</v>
      </c>
      <c r="C90" s="470" t="s">
        <v>412</v>
      </c>
      <c r="D90" s="204">
        <v>1200</v>
      </c>
      <c r="E90" s="206">
        <v>1</v>
      </c>
      <c r="F90" s="205">
        <v>1800</v>
      </c>
      <c r="G90" s="381">
        <f t="shared" si="25"/>
        <v>1800</v>
      </c>
      <c r="H90" s="382"/>
      <c r="I90" s="375"/>
      <c r="J90" s="380">
        <v>1800</v>
      </c>
      <c r="K90" s="375" t="s">
        <v>84</v>
      </c>
      <c r="L90" s="383">
        <f t="shared" si="26"/>
        <v>1200</v>
      </c>
      <c r="M90" s="383">
        <f t="shared" si="27"/>
        <v>600</v>
      </c>
      <c r="N90" s="277">
        <f t="shared" si="28"/>
        <v>0.3333333333333333</v>
      </c>
      <c r="O90" s="383">
        <f t="shared" si="29"/>
        <v>128.57142857142856</v>
      </c>
      <c r="P90" s="383">
        <f t="shared" si="30"/>
        <v>192.8571428571429</v>
      </c>
      <c r="Q90" s="374">
        <f t="shared" si="31"/>
        <v>0</v>
      </c>
      <c r="R90" s="374">
        <f t="shared" si="32"/>
        <v>0</v>
      </c>
      <c r="S90" s="385">
        <f t="shared" si="33"/>
        <v>600</v>
      </c>
      <c r="T90" s="366">
        <v>600</v>
      </c>
    </row>
    <row r="91" spans="1:20" ht="12" customHeight="1" outlineLevel="2">
      <c r="A91" s="80">
        <v>41278</v>
      </c>
      <c r="B91" s="376" t="s">
        <v>425</v>
      </c>
      <c r="C91" s="3" t="s">
        <v>413</v>
      </c>
      <c r="D91" s="378">
        <f aca="true" t="shared" si="34" ref="D91:D104">F91-(F91*0.2)</f>
        <v>760</v>
      </c>
      <c r="E91" s="206">
        <v>1</v>
      </c>
      <c r="F91" s="205">
        <v>950</v>
      </c>
      <c r="G91" s="381">
        <f t="shared" si="25"/>
        <v>950</v>
      </c>
      <c r="H91" s="382"/>
      <c r="I91" s="375"/>
      <c r="J91" s="380">
        <v>950</v>
      </c>
      <c r="K91" s="375" t="s">
        <v>84</v>
      </c>
      <c r="L91" s="383">
        <f t="shared" si="26"/>
        <v>760</v>
      </c>
      <c r="M91" s="383">
        <f t="shared" si="27"/>
        <v>190</v>
      </c>
      <c r="N91" s="277">
        <f t="shared" si="28"/>
        <v>0.2</v>
      </c>
      <c r="O91" s="383">
        <f t="shared" si="29"/>
        <v>81.42857142857143</v>
      </c>
      <c r="P91" s="383">
        <f t="shared" si="30"/>
        <v>101.78571428571429</v>
      </c>
      <c r="Q91" s="374">
        <f t="shared" si="31"/>
        <v>0</v>
      </c>
      <c r="R91" s="374">
        <f t="shared" si="32"/>
        <v>0</v>
      </c>
      <c r="S91" s="385">
        <f t="shared" si="33"/>
        <v>190</v>
      </c>
      <c r="T91" s="366">
        <v>190</v>
      </c>
    </row>
    <row r="92" spans="1:20" ht="32.25" customHeight="1" outlineLevel="2" thickBot="1">
      <c r="A92" s="80">
        <v>41278</v>
      </c>
      <c r="B92" s="376" t="s">
        <v>425</v>
      </c>
      <c r="C92" s="470" t="s">
        <v>414</v>
      </c>
      <c r="D92" s="378">
        <f t="shared" si="34"/>
        <v>720</v>
      </c>
      <c r="E92" s="206">
        <v>1</v>
      </c>
      <c r="F92" s="205">
        <v>900</v>
      </c>
      <c r="G92" s="381">
        <f t="shared" si="25"/>
        <v>900</v>
      </c>
      <c r="H92" s="382"/>
      <c r="I92" s="375"/>
      <c r="J92" s="380">
        <v>900</v>
      </c>
      <c r="K92" s="375" t="s">
        <v>84</v>
      </c>
      <c r="L92" s="383">
        <f t="shared" si="26"/>
        <v>720</v>
      </c>
      <c r="M92" s="383">
        <f t="shared" si="27"/>
        <v>180</v>
      </c>
      <c r="N92" s="277">
        <f t="shared" si="28"/>
        <v>0.2</v>
      </c>
      <c r="O92" s="383">
        <f t="shared" si="29"/>
        <v>77.14285714285714</v>
      </c>
      <c r="P92" s="383">
        <f t="shared" si="30"/>
        <v>96.42857142857144</v>
      </c>
      <c r="Q92" s="374">
        <f t="shared" si="31"/>
        <v>0</v>
      </c>
      <c r="R92" s="374">
        <f t="shared" si="32"/>
        <v>0</v>
      </c>
      <c r="S92" s="385">
        <f t="shared" si="33"/>
        <v>180</v>
      </c>
      <c r="T92" s="366">
        <v>180</v>
      </c>
    </row>
    <row r="93" spans="1:20" ht="29.25" customHeight="1" outlineLevel="2">
      <c r="A93" s="80">
        <v>41278</v>
      </c>
      <c r="B93" s="376" t="s">
        <v>425</v>
      </c>
      <c r="C93" s="377" t="s">
        <v>415</v>
      </c>
      <c r="D93" s="378">
        <f t="shared" si="34"/>
        <v>160</v>
      </c>
      <c r="E93" s="387">
        <v>5</v>
      </c>
      <c r="F93" s="380">
        <v>200</v>
      </c>
      <c r="G93" s="381">
        <f t="shared" si="25"/>
        <v>1000</v>
      </c>
      <c r="H93" s="382"/>
      <c r="I93" s="375"/>
      <c r="J93" s="380">
        <v>1000</v>
      </c>
      <c r="K93" s="375" t="s">
        <v>84</v>
      </c>
      <c r="L93" s="383">
        <f t="shared" si="26"/>
        <v>800</v>
      </c>
      <c r="M93" s="383">
        <f t="shared" si="27"/>
        <v>200</v>
      </c>
      <c r="N93" s="277">
        <f t="shared" si="28"/>
        <v>0.2</v>
      </c>
      <c r="O93" s="383">
        <f t="shared" si="29"/>
        <v>85.71428571428572</v>
      </c>
      <c r="P93" s="383">
        <f t="shared" si="30"/>
        <v>107.14285714285714</v>
      </c>
      <c r="Q93" s="374">
        <f t="shared" si="31"/>
        <v>0</v>
      </c>
      <c r="R93" s="374">
        <f t="shared" si="32"/>
        <v>0</v>
      </c>
      <c r="S93" s="385">
        <f t="shared" si="33"/>
        <v>200</v>
      </c>
      <c r="T93" s="366">
        <v>200</v>
      </c>
    </row>
    <row r="94" spans="1:20" ht="29.25" customHeight="1" outlineLevel="2">
      <c r="A94" s="80">
        <v>41278</v>
      </c>
      <c r="B94" s="376" t="s">
        <v>425</v>
      </c>
      <c r="C94" s="377" t="s">
        <v>416</v>
      </c>
      <c r="D94" s="378">
        <f t="shared" si="34"/>
        <v>480</v>
      </c>
      <c r="E94" s="387">
        <v>1</v>
      </c>
      <c r="F94" s="380">
        <v>600</v>
      </c>
      <c r="G94" s="381">
        <f t="shared" si="25"/>
        <v>600</v>
      </c>
      <c r="H94" s="382"/>
      <c r="I94" s="375"/>
      <c r="J94" s="380">
        <v>600</v>
      </c>
      <c r="K94" s="375" t="s">
        <v>84</v>
      </c>
      <c r="L94" s="383">
        <f t="shared" si="26"/>
        <v>480</v>
      </c>
      <c r="M94" s="383">
        <f t="shared" si="27"/>
        <v>120</v>
      </c>
      <c r="N94" s="277">
        <f t="shared" si="28"/>
        <v>0.2</v>
      </c>
      <c r="O94" s="383">
        <f t="shared" si="29"/>
        <v>51.42857142857143</v>
      </c>
      <c r="P94" s="383">
        <f t="shared" si="30"/>
        <v>64.28571428571428</v>
      </c>
      <c r="Q94" s="374">
        <f t="shared" si="31"/>
        <v>0</v>
      </c>
      <c r="R94" s="374">
        <f t="shared" si="32"/>
        <v>0</v>
      </c>
      <c r="S94" s="385">
        <f t="shared" si="33"/>
        <v>120</v>
      </c>
      <c r="T94" s="366">
        <v>120</v>
      </c>
    </row>
    <row r="95" spans="1:20" ht="29.25" customHeight="1" outlineLevel="2">
      <c r="A95" s="80">
        <v>41278</v>
      </c>
      <c r="B95" s="376" t="s">
        <v>425</v>
      </c>
      <c r="C95" s="377" t="s">
        <v>417</v>
      </c>
      <c r="D95" s="378">
        <f t="shared" si="34"/>
        <v>240</v>
      </c>
      <c r="E95" s="379">
        <v>1</v>
      </c>
      <c r="F95" s="380">
        <v>300</v>
      </c>
      <c r="G95" s="381">
        <f t="shared" si="25"/>
        <v>300</v>
      </c>
      <c r="H95" s="382"/>
      <c r="I95" s="375"/>
      <c r="J95" s="380">
        <v>300</v>
      </c>
      <c r="K95" s="375" t="s">
        <v>84</v>
      </c>
      <c r="L95" s="383">
        <f t="shared" si="26"/>
        <v>240</v>
      </c>
      <c r="M95" s="383">
        <f t="shared" si="27"/>
        <v>60</v>
      </c>
      <c r="N95" s="277">
        <f t="shared" si="28"/>
        <v>0.2</v>
      </c>
      <c r="O95" s="383">
        <f t="shared" si="29"/>
        <v>25.714285714285715</v>
      </c>
      <c r="P95" s="383">
        <f t="shared" si="30"/>
        <v>32.14285714285714</v>
      </c>
      <c r="Q95" s="374">
        <f t="shared" si="31"/>
        <v>0</v>
      </c>
      <c r="R95" s="374">
        <f t="shared" si="32"/>
        <v>0</v>
      </c>
      <c r="S95" s="385">
        <f t="shared" si="33"/>
        <v>60</v>
      </c>
      <c r="T95" s="366">
        <v>60</v>
      </c>
    </row>
    <row r="96" spans="1:20" ht="12.75" outlineLevel="2">
      <c r="A96" s="80">
        <v>41278</v>
      </c>
      <c r="B96" s="376" t="s">
        <v>425</v>
      </c>
      <c r="C96" s="377" t="s">
        <v>418</v>
      </c>
      <c r="D96" s="378">
        <f t="shared" si="34"/>
        <v>680</v>
      </c>
      <c r="E96" s="387">
        <v>1</v>
      </c>
      <c r="F96" s="380">
        <v>850</v>
      </c>
      <c r="G96" s="381">
        <f t="shared" si="25"/>
        <v>850</v>
      </c>
      <c r="H96" s="382"/>
      <c r="I96" s="375"/>
      <c r="J96" s="380">
        <v>850</v>
      </c>
      <c r="K96" s="375" t="s">
        <v>84</v>
      </c>
      <c r="L96" s="383">
        <f t="shared" si="26"/>
        <v>680</v>
      </c>
      <c r="M96" s="383">
        <f t="shared" si="27"/>
        <v>170</v>
      </c>
      <c r="N96" s="277">
        <f t="shared" si="28"/>
        <v>0.2</v>
      </c>
      <c r="O96" s="383">
        <f t="shared" si="29"/>
        <v>72.85714285714286</v>
      </c>
      <c r="P96" s="383">
        <f t="shared" si="30"/>
        <v>91.07142857142857</v>
      </c>
      <c r="Q96" s="374">
        <f t="shared" si="31"/>
        <v>0</v>
      </c>
      <c r="R96" s="374">
        <f t="shared" si="32"/>
        <v>0</v>
      </c>
      <c r="S96" s="385">
        <f t="shared" si="33"/>
        <v>170</v>
      </c>
      <c r="T96" s="366">
        <v>170</v>
      </c>
    </row>
    <row r="97" spans="1:24" s="386" customFormat="1" ht="12.75" outlineLevel="2">
      <c r="A97" s="80">
        <v>41278</v>
      </c>
      <c r="B97" s="376" t="s">
        <v>425</v>
      </c>
      <c r="C97" s="377" t="s">
        <v>419</v>
      </c>
      <c r="D97" s="378">
        <f t="shared" si="34"/>
        <v>5600</v>
      </c>
      <c r="E97" s="387">
        <v>1</v>
      </c>
      <c r="F97" s="380">
        <v>7000</v>
      </c>
      <c r="G97" s="381">
        <f t="shared" si="25"/>
        <v>7000</v>
      </c>
      <c r="H97" s="382"/>
      <c r="I97" s="375"/>
      <c r="J97" s="380">
        <v>7000</v>
      </c>
      <c r="K97" s="375" t="s">
        <v>84</v>
      </c>
      <c r="L97" s="383">
        <f t="shared" si="26"/>
        <v>5600</v>
      </c>
      <c r="M97" s="383">
        <f t="shared" si="27"/>
        <v>1400</v>
      </c>
      <c r="N97" s="277">
        <f t="shared" si="28"/>
        <v>0.2</v>
      </c>
      <c r="O97" s="383">
        <f t="shared" si="29"/>
        <v>600</v>
      </c>
      <c r="P97" s="383">
        <f t="shared" si="30"/>
        <v>750</v>
      </c>
      <c r="Q97" s="374">
        <f t="shared" si="31"/>
        <v>0</v>
      </c>
      <c r="R97" s="374">
        <f t="shared" si="32"/>
        <v>0</v>
      </c>
      <c r="S97" s="385">
        <f t="shared" si="33"/>
        <v>1400</v>
      </c>
      <c r="T97" s="366">
        <v>1400</v>
      </c>
      <c r="U97" s="366"/>
      <c r="V97" s="374"/>
      <c r="W97" s="374"/>
      <c r="X97" s="374"/>
    </row>
    <row r="98" spans="1:24" s="386" customFormat="1" ht="13.5" outlineLevel="2" thickBot="1">
      <c r="A98" s="80">
        <v>41278</v>
      </c>
      <c r="B98" s="376" t="s">
        <v>425</v>
      </c>
      <c r="C98" s="472" t="s">
        <v>420</v>
      </c>
      <c r="D98" s="378">
        <f t="shared" si="34"/>
        <v>960</v>
      </c>
      <c r="E98" s="387">
        <v>1</v>
      </c>
      <c r="F98" s="380">
        <v>1200</v>
      </c>
      <c r="G98" s="381">
        <f t="shared" si="25"/>
        <v>1200</v>
      </c>
      <c r="H98" s="382"/>
      <c r="I98" s="375"/>
      <c r="J98" s="380">
        <v>1200</v>
      </c>
      <c r="K98" s="375" t="s">
        <v>84</v>
      </c>
      <c r="L98" s="383">
        <f t="shared" si="26"/>
        <v>960</v>
      </c>
      <c r="M98" s="383">
        <f t="shared" si="27"/>
        <v>240</v>
      </c>
      <c r="N98" s="277">
        <f t="shared" si="28"/>
        <v>0.2</v>
      </c>
      <c r="O98" s="383">
        <f t="shared" si="29"/>
        <v>102.85714285714286</v>
      </c>
      <c r="P98" s="383">
        <f t="shared" si="30"/>
        <v>128.57142857142856</v>
      </c>
      <c r="Q98" s="374">
        <f t="shared" si="31"/>
        <v>0</v>
      </c>
      <c r="R98" s="374">
        <f t="shared" si="32"/>
        <v>0</v>
      </c>
      <c r="S98" s="385">
        <f t="shared" si="33"/>
        <v>240</v>
      </c>
      <c r="T98" s="366">
        <v>240</v>
      </c>
      <c r="U98" s="366"/>
      <c r="V98" s="374"/>
      <c r="W98" s="374"/>
      <c r="X98" s="374"/>
    </row>
    <row r="99" spans="1:20" ht="12" customHeight="1" outlineLevel="2">
      <c r="A99" s="80">
        <v>41278</v>
      </c>
      <c r="B99" s="376" t="s">
        <v>425</v>
      </c>
      <c r="C99" s="377" t="s">
        <v>421</v>
      </c>
      <c r="D99" s="378">
        <f t="shared" si="34"/>
        <v>220</v>
      </c>
      <c r="E99" s="387">
        <v>2</v>
      </c>
      <c r="F99" s="380">
        <v>275</v>
      </c>
      <c r="G99" s="381">
        <f t="shared" si="25"/>
        <v>550</v>
      </c>
      <c r="H99" s="382"/>
      <c r="I99" s="375"/>
      <c r="J99" s="380">
        <v>550</v>
      </c>
      <c r="K99" s="375" t="s">
        <v>84</v>
      </c>
      <c r="L99" s="383">
        <f t="shared" si="26"/>
        <v>440</v>
      </c>
      <c r="M99" s="383">
        <f t="shared" si="27"/>
        <v>110</v>
      </c>
      <c r="N99" s="277">
        <f t="shared" si="28"/>
        <v>0.2</v>
      </c>
      <c r="O99" s="383">
        <f t="shared" si="29"/>
        <v>47.14285714285714</v>
      </c>
      <c r="P99" s="383">
        <f t="shared" si="30"/>
        <v>58.92857142857143</v>
      </c>
      <c r="Q99" s="374">
        <f t="shared" si="31"/>
        <v>0</v>
      </c>
      <c r="R99" s="374">
        <f t="shared" si="32"/>
        <v>0</v>
      </c>
      <c r="S99" s="385">
        <f t="shared" si="33"/>
        <v>110</v>
      </c>
      <c r="T99" s="366">
        <v>110</v>
      </c>
    </row>
    <row r="100" spans="1:20" ht="12" customHeight="1" outlineLevel="2">
      <c r="A100" s="80">
        <v>41278</v>
      </c>
      <c r="B100" s="376" t="s">
        <v>425</v>
      </c>
      <c r="C100" s="377" t="s">
        <v>305</v>
      </c>
      <c r="D100" s="378">
        <f t="shared" si="34"/>
        <v>200</v>
      </c>
      <c r="E100" s="403">
        <v>4</v>
      </c>
      <c r="F100" s="380">
        <v>250</v>
      </c>
      <c r="G100" s="381">
        <f t="shared" si="25"/>
        <v>1000</v>
      </c>
      <c r="H100" s="382"/>
      <c r="I100" s="375"/>
      <c r="J100" s="380">
        <v>1000</v>
      </c>
      <c r="K100" s="375" t="s">
        <v>84</v>
      </c>
      <c r="L100" s="383">
        <f t="shared" si="26"/>
        <v>800</v>
      </c>
      <c r="M100" s="383">
        <f t="shared" si="27"/>
        <v>200</v>
      </c>
      <c r="N100" s="277">
        <f t="shared" si="28"/>
        <v>0.2</v>
      </c>
      <c r="O100" s="383">
        <f t="shared" si="29"/>
        <v>85.71428571428572</v>
      </c>
      <c r="P100" s="383">
        <f t="shared" si="30"/>
        <v>107.14285714285714</v>
      </c>
      <c r="Q100" s="374">
        <f t="shared" si="31"/>
        <v>0</v>
      </c>
      <c r="R100" s="374">
        <f t="shared" si="32"/>
        <v>0</v>
      </c>
      <c r="S100" s="385">
        <f t="shared" si="33"/>
        <v>200</v>
      </c>
      <c r="T100" s="366">
        <v>200</v>
      </c>
    </row>
    <row r="101" spans="1:20" ht="12" customHeight="1" outlineLevel="2">
      <c r="A101" s="80">
        <v>41285</v>
      </c>
      <c r="B101" s="376" t="s">
        <v>425</v>
      </c>
      <c r="C101" s="377" t="s">
        <v>422</v>
      </c>
      <c r="D101" s="378">
        <f t="shared" si="34"/>
        <v>1520</v>
      </c>
      <c r="E101" s="387">
        <v>2</v>
      </c>
      <c r="F101" s="380">
        <v>1900</v>
      </c>
      <c r="G101" s="381">
        <f t="shared" si="25"/>
        <v>3800</v>
      </c>
      <c r="H101" s="382"/>
      <c r="I101" s="375"/>
      <c r="J101" s="380">
        <v>3800</v>
      </c>
      <c r="K101" s="375" t="s">
        <v>84</v>
      </c>
      <c r="L101" s="383">
        <f t="shared" si="26"/>
        <v>3040</v>
      </c>
      <c r="M101" s="383">
        <f t="shared" si="27"/>
        <v>760</v>
      </c>
      <c r="N101" s="277">
        <f t="shared" si="28"/>
        <v>0.2</v>
      </c>
      <c r="O101" s="383">
        <f t="shared" si="29"/>
        <v>325.7142857142857</v>
      </c>
      <c r="P101" s="383">
        <f t="shared" si="30"/>
        <v>407.14285714285717</v>
      </c>
      <c r="Q101" s="374">
        <f t="shared" si="31"/>
        <v>0</v>
      </c>
      <c r="R101" s="374">
        <f t="shared" si="32"/>
        <v>0</v>
      </c>
      <c r="S101" s="385">
        <f t="shared" si="33"/>
        <v>760</v>
      </c>
      <c r="T101" s="366">
        <v>760</v>
      </c>
    </row>
    <row r="102" spans="1:20" ht="12" customHeight="1" outlineLevel="2">
      <c r="A102" s="80">
        <v>41285</v>
      </c>
      <c r="B102" s="376" t="s">
        <v>425</v>
      </c>
      <c r="C102" s="405" t="s">
        <v>414</v>
      </c>
      <c r="D102" s="378">
        <f t="shared" si="34"/>
        <v>720</v>
      </c>
      <c r="E102" s="387">
        <v>2</v>
      </c>
      <c r="F102" s="380">
        <v>900</v>
      </c>
      <c r="G102" s="381">
        <f t="shared" si="25"/>
        <v>1800</v>
      </c>
      <c r="H102" s="382"/>
      <c r="I102" s="375"/>
      <c r="J102" s="380">
        <v>1800</v>
      </c>
      <c r="K102" s="375" t="s">
        <v>84</v>
      </c>
      <c r="L102" s="383">
        <f t="shared" si="26"/>
        <v>1440</v>
      </c>
      <c r="M102" s="383">
        <f t="shared" si="27"/>
        <v>360</v>
      </c>
      <c r="N102" s="277">
        <f t="shared" si="28"/>
        <v>0.2</v>
      </c>
      <c r="O102" s="383">
        <f t="shared" si="29"/>
        <v>154.28571428571428</v>
      </c>
      <c r="P102" s="383">
        <f t="shared" si="30"/>
        <v>192.8571428571429</v>
      </c>
      <c r="Q102" s="374">
        <f t="shared" si="31"/>
        <v>0</v>
      </c>
      <c r="R102" s="374">
        <f t="shared" si="32"/>
        <v>0</v>
      </c>
      <c r="S102" s="385">
        <f t="shared" si="33"/>
        <v>360</v>
      </c>
      <c r="T102" s="366">
        <v>360</v>
      </c>
    </row>
    <row r="103" spans="1:20" ht="12" customHeight="1" outlineLevel="2">
      <c r="A103" s="80">
        <v>41285</v>
      </c>
      <c r="B103" s="376" t="s">
        <v>425</v>
      </c>
      <c r="C103" s="377" t="s">
        <v>423</v>
      </c>
      <c r="D103" s="378">
        <f t="shared" si="34"/>
        <v>16000</v>
      </c>
      <c r="E103" s="387">
        <v>1</v>
      </c>
      <c r="F103" s="380">
        <v>20000</v>
      </c>
      <c r="G103" s="381">
        <f t="shared" si="25"/>
        <v>20000</v>
      </c>
      <c r="H103" s="382"/>
      <c r="I103" s="375"/>
      <c r="J103" s="380">
        <v>20000</v>
      </c>
      <c r="K103" s="375" t="s">
        <v>84</v>
      </c>
      <c r="L103" s="383">
        <f t="shared" si="26"/>
        <v>16000</v>
      </c>
      <c r="M103" s="383">
        <f t="shared" si="27"/>
        <v>4000</v>
      </c>
      <c r="N103" s="277">
        <f t="shared" si="28"/>
        <v>0.2</v>
      </c>
      <c r="O103" s="383">
        <f t="shared" si="29"/>
        <v>1714.2857142857142</v>
      </c>
      <c r="P103" s="383">
        <f t="shared" si="30"/>
        <v>2142.857142857143</v>
      </c>
      <c r="Q103" s="374">
        <f t="shared" si="31"/>
        <v>0</v>
      </c>
      <c r="R103" s="374">
        <f t="shared" si="32"/>
        <v>0</v>
      </c>
      <c r="S103" s="385">
        <f t="shared" si="33"/>
        <v>4000</v>
      </c>
      <c r="T103" s="366">
        <v>4000</v>
      </c>
    </row>
    <row r="104" spans="1:20" ht="12" customHeight="1" outlineLevel="2">
      <c r="A104" s="80">
        <v>41285</v>
      </c>
      <c r="B104" s="376" t="s">
        <v>425</v>
      </c>
      <c r="C104" s="377" t="s">
        <v>424</v>
      </c>
      <c r="D104" s="378">
        <f t="shared" si="34"/>
        <v>960</v>
      </c>
      <c r="E104" s="387">
        <v>2</v>
      </c>
      <c r="F104" s="380">
        <v>1200</v>
      </c>
      <c r="G104" s="381">
        <f t="shared" si="25"/>
        <v>2400</v>
      </c>
      <c r="H104" s="382"/>
      <c r="I104" s="375"/>
      <c r="J104" s="380">
        <v>3130</v>
      </c>
      <c r="K104" s="375" t="s">
        <v>84</v>
      </c>
      <c r="L104" s="383">
        <f t="shared" si="26"/>
        <v>1920</v>
      </c>
      <c r="M104" s="383">
        <f t="shared" si="27"/>
        <v>480</v>
      </c>
      <c r="N104" s="277">
        <f t="shared" si="28"/>
        <v>0.2</v>
      </c>
      <c r="O104" s="383">
        <f t="shared" si="29"/>
        <v>205.71428571428572</v>
      </c>
      <c r="P104" s="383">
        <f t="shared" si="30"/>
        <v>257.1428571428571</v>
      </c>
      <c r="Q104" s="374">
        <f t="shared" si="31"/>
        <v>0</v>
      </c>
      <c r="R104" s="374">
        <f t="shared" si="32"/>
        <v>0</v>
      </c>
      <c r="S104" s="385">
        <f t="shared" si="33"/>
        <v>480</v>
      </c>
      <c r="T104" s="366">
        <v>480</v>
      </c>
    </row>
    <row r="105" spans="1:21" s="444" customFormat="1" ht="12" customHeight="1" outlineLevel="1">
      <c r="A105" s="433"/>
      <c r="B105" s="447" t="s">
        <v>479</v>
      </c>
      <c r="C105" s="436"/>
      <c r="D105" s="437">
        <f>SUBTOTAL(9,D84:D104)</f>
        <v>35900</v>
      </c>
      <c r="E105" s="473">
        <f>SUBTOTAL(9,E84:E104)</f>
        <v>44</v>
      </c>
      <c r="F105" s="439"/>
      <c r="G105" s="440">
        <f>SUBTOTAL(9,G84:G104)</f>
        <v>59130</v>
      </c>
      <c r="H105" s="441">
        <f>SUBTOTAL(9,H84:H104)</f>
        <v>0</v>
      </c>
      <c r="I105" s="434">
        <f>SUBTOTAL(9,I84:I104)</f>
        <v>0</v>
      </c>
      <c r="J105" s="439">
        <v>59860</v>
      </c>
      <c r="K105" s="434" t="s">
        <v>84</v>
      </c>
      <c r="L105" s="442">
        <f>SUBTOTAL(9,L84:L104)</f>
        <v>48450</v>
      </c>
      <c r="M105" s="442">
        <f>SUBTOTAL(9,M84:M104)</f>
        <v>10680</v>
      </c>
      <c r="N105" s="443"/>
      <c r="O105" s="442"/>
      <c r="P105" s="442"/>
      <c r="Q105" s="444">
        <f>SUBTOTAL(9,Q84:Q104)</f>
        <v>0</v>
      </c>
      <c r="R105" s="444">
        <f>SUBTOTAL(9,R84:R104)</f>
        <v>0</v>
      </c>
      <c r="S105" s="445">
        <f>SUBTOTAL(9,S84:S104)</f>
        <v>10680</v>
      </c>
      <c r="T105" s="446">
        <v>12380</v>
      </c>
      <c r="U105" s="446"/>
    </row>
    <row r="106" spans="1:20" ht="12.75" customHeight="1" outlineLevel="2">
      <c r="A106" s="80">
        <v>41292</v>
      </c>
      <c r="B106" s="428" t="s">
        <v>399</v>
      </c>
      <c r="C106" s="377" t="s">
        <v>398</v>
      </c>
      <c r="D106" s="378">
        <v>1350</v>
      </c>
      <c r="E106" s="432">
        <v>1</v>
      </c>
      <c r="F106" s="380">
        <v>1720</v>
      </c>
      <c r="G106" s="381">
        <f>F106*E106</f>
        <v>1720</v>
      </c>
      <c r="H106" s="382">
        <v>1720</v>
      </c>
      <c r="I106" s="375"/>
      <c r="J106" s="380">
        <v>1720</v>
      </c>
      <c r="K106" s="375" t="s">
        <v>84</v>
      </c>
      <c r="L106" s="383">
        <f>E106*D106</f>
        <v>1350</v>
      </c>
      <c r="M106" s="383">
        <f>G106-L106</f>
        <v>370</v>
      </c>
      <c r="N106" s="277">
        <f>M106/G106</f>
        <v>0.21511627906976744</v>
      </c>
      <c r="O106" s="383">
        <f>(E106*D106)/112*12</f>
        <v>144.64285714285714</v>
      </c>
      <c r="P106" s="383">
        <f>G106/112*12</f>
        <v>184.28571428571428</v>
      </c>
      <c r="Q106" s="374">
        <f>IF(SUM(H106:I106)&gt;0,(P106-O106),0)</f>
        <v>39.64285714285714</v>
      </c>
      <c r="R106" s="374">
        <f>IF(SUM(H106:I106)&gt;0,((M106-Q106)*20/100),0)</f>
        <v>66.07142857142858</v>
      </c>
      <c r="S106" s="385">
        <f>G106-L106-Q106</f>
        <v>330.3571428571429</v>
      </c>
      <c r="T106" s="366">
        <v>442.85714285714283</v>
      </c>
    </row>
    <row r="107" spans="1:20" ht="12" customHeight="1" outlineLevel="2">
      <c r="A107" s="80">
        <v>40917</v>
      </c>
      <c r="B107" s="428" t="s">
        <v>399</v>
      </c>
      <c r="C107" s="377" t="s">
        <v>124</v>
      </c>
      <c r="D107" s="378">
        <f>F107-(F107*0.2)</f>
        <v>640</v>
      </c>
      <c r="E107" s="387">
        <v>1</v>
      </c>
      <c r="F107" s="380">
        <v>800</v>
      </c>
      <c r="G107" s="381">
        <f>F107*E107</f>
        <v>800</v>
      </c>
      <c r="H107" s="382">
        <v>800</v>
      </c>
      <c r="I107" s="375"/>
      <c r="J107" s="380">
        <v>800</v>
      </c>
      <c r="K107" s="375" t="s">
        <v>84</v>
      </c>
      <c r="L107" s="383">
        <f>E107*D107</f>
        <v>640</v>
      </c>
      <c r="M107" s="383">
        <f>G107-L107</f>
        <v>160</v>
      </c>
      <c r="N107" s="277">
        <f>M107/G107</f>
        <v>0.2</v>
      </c>
      <c r="O107" s="383">
        <f>(E107*D107)/112*12</f>
        <v>68.57142857142857</v>
      </c>
      <c r="P107" s="383">
        <f>G107/112*12</f>
        <v>85.71428571428572</v>
      </c>
      <c r="Q107" s="374">
        <f>IF(SUM(H107:I107)&gt;0,(P107-O107),0)</f>
        <v>17.142857142857153</v>
      </c>
      <c r="R107" s="374">
        <f>IF(SUM(H107:I107)&gt;0,((M107-Q107)*20/100),0)</f>
        <v>28.57142857142857</v>
      </c>
      <c r="S107" s="385">
        <f>G107-L107-Q107</f>
        <v>142.85714285714283</v>
      </c>
      <c r="T107" s="366">
        <v>114.28571428571426</v>
      </c>
    </row>
    <row r="108" spans="1:20" ht="12" customHeight="1" outlineLevel="2">
      <c r="A108" s="80">
        <v>40917</v>
      </c>
      <c r="B108" s="428" t="s">
        <v>399</v>
      </c>
      <c r="C108" s="377" t="s">
        <v>403</v>
      </c>
      <c r="D108" s="378">
        <f>F108-(F108*0.2)</f>
        <v>1320</v>
      </c>
      <c r="E108" s="387">
        <v>1</v>
      </c>
      <c r="F108" s="380">
        <v>1650</v>
      </c>
      <c r="G108" s="381">
        <f>F108*E108</f>
        <v>1650</v>
      </c>
      <c r="H108" s="382">
        <v>1650</v>
      </c>
      <c r="I108" s="375"/>
      <c r="J108" s="380">
        <v>1650</v>
      </c>
      <c r="K108" s="375" t="s">
        <v>84</v>
      </c>
      <c r="L108" s="383">
        <f>E108*D108</f>
        <v>1320</v>
      </c>
      <c r="M108" s="383">
        <f>G108-L108</f>
        <v>330</v>
      </c>
      <c r="N108" s="277">
        <f>M108/G108</f>
        <v>0.2</v>
      </c>
      <c r="O108" s="383">
        <f>(E108*D108)/112*12</f>
        <v>141.42857142857144</v>
      </c>
      <c r="P108" s="383">
        <f>G108/112*12</f>
        <v>176.78571428571428</v>
      </c>
      <c r="Q108" s="374">
        <f>IF(SUM(H108:I108)&gt;0,(P108-O108),0)</f>
        <v>35.35714285714283</v>
      </c>
      <c r="R108" s="374">
        <f>IF(SUM(H108:I108)&gt;0,((M108-Q108)*20/100),0)</f>
        <v>58.92857142857143</v>
      </c>
      <c r="S108" s="385">
        <f>G108-L108-Q108</f>
        <v>294.64285714285717</v>
      </c>
      <c r="T108" s="366">
        <v>235.71428571428572</v>
      </c>
    </row>
    <row r="109" spans="1:20" ht="12" customHeight="1" outlineLevel="2">
      <c r="A109" s="80">
        <v>40917</v>
      </c>
      <c r="B109" s="428" t="s">
        <v>399</v>
      </c>
      <c r="C109" s="384" t="s">
        <v>122</v>
      </c>
      <c r="D109" s="378">
        <f>F109-(F109*0.2)</f>
        <v>440</v>
      </c>
      <c r="E109" s="387">
        <v>1</v>
      </c>
      <c r="F109" s="380">
        <v>550</v>
      </c>
      <c r="G109" s="381">
        <f>F109*E109</f>
        <v>550</v>
      </c>
      <c r="H109" s="382">
        <v>550</v>
      </c>
      <c r="I109" s="375"/>
      <c r="J109" s="380">
        <v>550</v>
      </c>
      <c r="K109" s="375" t="s">
        <v>84</v>
      </c>
      <c r="L109" s="383">
        <f>E109*D109</f>
        <v>440</v>
      </c>
      <c r="M109" s="383">
        <f>G109-L109</f>
        <v>110</v>
      </c>
      <c r="N109" s="277">
        <f>M109/G109</f>
        <v>0.2</v>
      </c>
      <c r="O109" s="383">
        <f>(E109*D109)/112*12</f>
        <v>47.14285714285714</v>
      </c>
      <c r="P109" s="383">
        <f>G109/112*12</f>
        <v>58.92857142857143</v>
      </c>
      <c r="Q109" s="374">
        <f>IF(SUM(H109:I109)&gt;0,(P109-O109),0)</f>
        <v>11.785714285714292</v>
      </c>
      <c r="R109" s="374">
        <f>IF(SUM(H109:I109)&gt;0,((M109-Q109)*20/100),0)</f>
        <v>19.642857142857142</v>
      </c>
      <c r="S109" s="385">
        <f>G109-L109-Q109</f>
        <v>98.21428571428571</v>
      </c>
      <c r="T109" s="366">
        <v>78.57142857142857</v>
      </c>
    </row>
    <row r="110" spans="1:21" s="444" customFormat="1" ht="12" customHeight="1" outlineLevel="1">
      <c r="A110" s="433"/>
      <c r="B110" s="450" t="s">
        <v>480</v>
      </c>
      <c r="C110" s="448"/>
      <c r="D110" s="437">
        <f>SUBTOTAL(9,D106:D109)</f>
        <v>3750</v>
      </c>
      <c r="E110" s="473">
        <f>SUBTOTAL(9,E106:E109)</f>
        <v>4</v>
      </c>
      <c r="F110" s="439"/>
      <c r="G110" s="440">
        <f>SUBTOTAL(9,G106:G109)</f>
        <v>4720</v>
      </c>
      <c r="H110" s="441">
        <f>SUBTOTAL(9,H106:H109)</f>
        <v>4720</v>
      </c>
      <c r="I110" s="434">
        <f>SUBTOTAL(9,I106:I109)</f>
        <v>0</v>
      </c>
      <c r="J110" s="439">
        <v>4720</v>
      </c>
      <c r="K110" s="434" t="s">
        <v>84</v>
      </c>
      <c r="L110" s="442">
        <f>SUBTOTAL(9,L106:L109)</f>
        <v>3750</v>
      </c>
      <c r="M110" s="442">
        <f>SUBTOTAL(9,M106:M109)</f>
        <v>970</v>
      </c>
      <c r="N110" s="443"/>
      <c r="O110" s="442"/>
      <c r="P110" s="442"/>
      <c r="Q110" s="444">
        <f>SUBTOTAL(9,Q106:Q109)</f>
        <v>103.92857142857142</v>
      </c>
      <c r="R110" s="444">
        <f>SUBTOTAL(9,R106:R109)</f>
        <v>173.21428571428572</v>
      </c>
      <c r="S110" s="445">
        <f>SUBTOTAL(9,S106:S109)</f>
        <v>866.0714285714286</v>
      </c>
      <c r="T110" s="446">
        <v>871.4285714285714</v>
      </c>
      <c r="U110" s="446"/>
    </row>
    <row r="111" spans="1:20" ht="12" customHeight="1" outlineLevel="2">
      <c r="A111" s="80">
        <v>41296</v>
      </c>
      <c r="B111" s="429" t="s">
        <v>301</v>
      </c>
      <c r="C111" s="377" t="s">
        <v>365</v>
      </c>
      <c r="D111" s="378">
        <v>150</v>
      </c>
      <c r="E111" s="387">
        <v>18</v>
      </c>
      <c r="F111" s="380">
        <v>200</v>
      </c>
      <c r="G111" s="381">
        <f>F111*E111</f>
        <v>3600</v>
      </c>
      <c r="H111" s="382"/>
      <c r="I111" s="375"/>
      <c r="J111" s="380">
        <v>3600</v>
      </c>
      <c r="K111" s="375" t="s">
        <v>84</v>
      </c>
      <c r="L111" s="383">
        <f>E111*D111</f>
        <v>2700</v>
      </c>
      <c r="M111" s="383">
        <f>G111-L111</f>
        <v>900</v>
      </c>
      <c r="N111" s="277">
        <f>M111/G111</f>
        <v>0.25</v>
      </c>
      <c r="O111" s="383">
        <f>(E111*D111)/112*12</f>
        <v>289.2857142857143</v>
      </c>
      <c r="P111" s="383">
        <f>G111/112*12</f>
        <v>385.7142857142858</v>
      </c>
      <c r="Q111" s="374">
        <f>IF(SUM(H111:I111)&gt;0,(P111-O111),0)</f>
        <v>0</v>
      </c>
      <c r="R111" s="374">
        <f>IF(SUM(H111:I111)&gt;0,((M111-Q111)*20/100),0)</f>
        <v>0</v>
      </c>
      <c r="S111" s="385">
        <f>G111-L111-Q111</f>
        <v>900</v>
      </c>
      <c r="T111" s="366">
        <v>1890</v>
      </c>
    </row>
    <row r="112" spans="1:20" ht="12" customHeight="1" outlineLevel="2">
      <c r="A112" s="80">
        <v>41302</v>
      </c>
      <c r="B112" s="429" t="s">
        <v>301</v>
      </c>
      <c r="C112" s="384" t="s">
        <v>402</v>
      </c>
      <c r="D112" s="378">
        <v>500</v>
      </c>
      <c r="E112" s="387">
        <v>1</v>
      </c>
      <c r="F112" s="380">
        <v>950</v>
      </c>
      <c r="G112" s="381">
        <f>F112*E112</f>
        <v>950</v>
      </c>
      <c r="H112" s="382"/>
      <c r="I112" s="375"/>
      <c r="J112" s="380">
        <v>950</v>
      </c>
      <c r="K112" s="375" t="s">
        <v>84</v>
      </c>
      <c r="L112" s="383">
        <f>E112*D112</f>
        <v>500</v>
      </c>
      <c r="M112" s="383">
        <f>G112-L112</f>
        <v>450</v>
      </c>
      <c r="N112" s="277">
        <f>M112/G112</f>
        <v>0.47368421052631576</v>
      </c>
      <c r="O112" s="383">
        <f>(E112*D112)/112*12</f>
        <v>53.57142857142857</v>
      </c>
      <c r="P112" s="383">
        <f>G112/112*12</f>
        <v>101.78571428571429</v>
      </c>
      <c r="Q112" s="374">
        <f>IF(SUM(H112:I112)&gt;0,(P112-O112),0)</f>
        <v>0</v>
      </c>
      <c r="R112" s="374">
        <f>IF(SUM(H112:I112)&gt;0,((M112-Q112)*20/100),0)</f>
        <v>0</v>
      </c>
      <c r="S112" s="385">
        <f>G112-L112-Q112</f>
        <v>450</v>
      </c>
      <c r="T112" s="366">
        <v>450</v>
      </c>
    </row>
    <row r="113" spans="1:21" s="444" customFormat="1" ht="12" customHeight="1" outlineLevel="1">
      <c r="A113" s="433"/>
      <c r="B113" s="589" t="s">
        <v>331</v>
      </c>
      <c r="C113" s="448"/>
      <c r="D113" s="437">
        <f>SUBTOTAL(9,D111:D112)</f>
        <v>650</v>
      </c>
      <c r="E113" s="473">
        <f>SUBTOTAL(9,E111:E112)</f>
        <v>19</v>
      </c>
      <c r="F113" s="439"/>
      <c r="G113" s="440">
        <f>SUBTOTAL(9,G111:G112)</f>
        <v>4550</v>
      </c>
      <c r="H113" s="441">
        <f>SUBTOTAL(9,H111:H112)</f>
        <v>0</v>
      </c>
      <c r="I113" s="434">
        <f>SUBTOTAL(9,I111:I112)</f>
        <v>0</v>
      </c>
      <c r="J113" s="439">
        <v>4550</v>
      </c>
      <c r="K113" s="434" t="s">
        <v>84</v>
      </c>
      <c r="L113" s="442">
        <f>SUBTOTAL(9,L111:L112)</f>
        <v>3200</v>
      </c>
      <c r="M113" s="442">
        <f>SUBTOTAL(9,M111:M112)</f>
        <v>1350</v>
      </c>
      <c r="N113" s="443"/>
      <c r="O113" s="442"/>
      <c r="P113" s="442"/>
      <c r="Q113" s="444">
        <f>SUBTOTAL(9,Q111:Q112)</f>
        <v>0</v>
      </c>
      <c r="R113" s="444">
        <f>SUBTOTAL(9,R111:R112)</f>
        <v>0</v>
      </c>
      <c r="S113" s="445">
        <f>SUBTOTAL(9,S111:S112)</f>
        <v>1350</v>
      </c>
      <c r="T113" s="446">
        <v>2340</v>
      </c>
      <c r="U113" s="446"/>
    </row>
    <row r="114" spans="1:24" ht="12" customHeight="1" outlineLevel="2">
      <c r="A114" s="80">
        <v>41290</v>
      </c>
      <c r="B114" s="382" t="s">
        <v>312</v>
      </c>
      <c r="C114" s="377" t="s">
        <v>175</v>
      </c>
      <c r="D114" s="378">
        <v>29</v>
      </c>
      <c r="E114" s="379">
        <v>600</v>
      </c>
      <c r="F114" s="380">
        <v>44</v>
      </c>
      <c r="G114" s="381">
        <f aca="true" t="shared" si="35" ref="G114:G127">F114*E114</f>
        <v>26400</v>
      </c>
      <c r="H114" s="382"/>
      <c r="I114" s="375">
        <v>26400</v>
      </c>
      <c r="J114" s="380">
        <v>26400</v>
      </c>
      <c r="K114" s="375" t="s">
        <v>84</v>
      </c>
      <c r="L114" s="383">
        <f aca="true" t="shared" si="36" ref="L114:L127">E114*D114</f>
        <v>17400</v>
      </c>
      <c r="M114" s="383">
        <f aca="true" t="shared" si="37" ref="M114:M127">G114-L114</f>
        <v>9000</v>
      </c>
      <c r="N114" s="277">
        <f aca="true" t="shared" si="38" ref="N114:N127">M114/G114</f>
        <v>0.3409090909090909</v>
      </c>
      <c r="O114" s="383">
        <f aca="true" t="shared" si="39" ref="O114:O127">(E114*D114)/112*12</f>
        <v>1864.2857142857142</v>
      </c>
      <c r="P114" s="383">
        <f aca="true" t="shared" si="40" ref="P114:P127">G114/112*12</f>
        <v>2828.5714285714284</v>
      </c>
      <c r="Q114" s="374">
        <f aca="true" t="shared" si="41" ref="Q114:Q127">IF(SUM(H114:I114)&gt;0,(P114-O114),0)</f>
        <v>964.2857142857142</v>
      </c>
      <c r="R114" s="374">
        <f aca="true" t="shared" si="42" ref="R114:R127">IF(SUM(H114:I114)&gt;0,((M114-Q114)*20/100),0)</f>
        <v>1607.1428571428573</v>
      </c>
      <c r="S114" s="385">
        <f aca="true" t="shared" si="43" ref="S114:S127">G114-L114-Q114</f>
        <v>8035.714285714286</v>
      </c>
      <c r="T114" s="366">
        <v>6428.571428571429</v>
      </c>
      <c r="W114" s="383"/>
      <c r="X114" s="383"/>
    </row>
    <row r="115" spans="1:24" ht="12" customHeight="1" outlineLevel="2">
      <c r="A115" s="80">
        <v>41290</v>
      </c>
      <c r="B115" s="382" t="s">
        <v>312</v>
      </c>
      <c r="C115" s="377" t="s">
        <v>445</v>
      </c>
      <c r="D115" s="378">
        <v>200</v>
      </c>
      <c r="E115" s="379">
        <v>5</v>
      </c>
      <c r="F115" s="380">
        <v>250</v>
      </c>
      <c r="G115" s="381">
        <f t="shared" si="35"/>
        <v>1250</v>
      </c>
      <c r="H115" s="382"/>
      <c r="I115" s="375">
        <v>1250</v>
      </c>
      <c r="J115" s="380">
        <v>1250</v>
      </c>
      <c r="K115" s="375" t="s">
        <v>84</v>
      </c>
      <c r="L115" s="383">
        <f t="shared" si="36"/>
        <v>1000</v>
      </c>
      <c r="M115" s="383">
        <f t="shared" si="37"/>
        <v>250</v>
      </c>
      <c r="N115" s="277">
        <f t="shared" si="38"/>
        <v>0.2</v>
      </c>
      <c r="O115" s="383">
        <f t="shared" si="39"/>
        <v>107.14285714285714</v>
      </c>
      <c r="P115" s="383">
        <f t="shared" si="40"/>
        <v>133.92857142857144</v>
      </c>
      <c r="Q115" s="374">
        <f t="shared" si="41"/>
        <v>26.785714285714306</v>
      </c>
      <c r="R115" s="374">
        <f t="shared" si="42"/>
        <v>44.64285714285714</v>
      </c>
      <c r="S115" s="385">
        <f t="shared" si="43"/>
        <v>223.2142857142857</v>
      </c>
      <c r="T115" s="366">
        <v>178.57142857142856</v>
      </c>
      <c r="W115" s="383"/>
      <c r="X115" s="383"/>
    </row>
    <row r="116" spans="1:24" ht="12" customHeight="1" outlineLevel="2">
      <c r="A116" s="80">
        <v>41290</v>
      </c>
      <c r="B116" s="382" t="s">
        <v>312</v>
      </c>
      <c r="C116" s="377" t="s">
        <v>446</v>
      </c>
      <c r="D116" s="378">
        <v>26</v>
      </c>
      <c r="E116" s="379">
        <v>100</v>
      </c>
      <c r="F116" s="380">
        <v>50</v>
      </c>
      <c r="G116" s="381">
        <f t="shared" si="35"/>
        <v>5000</v>
      </c>
      <c r="H116" s="382"/>
      <c r="I116" s="375">
        <v>5000</v>
      </c>
      <c r="J116" s="380">
        <v>5000</v>
      </c>
      <c r="K116" s="375" t="s">
        <v>84</v>
      </c>
      <c r="L116" s="383">
        <f t="shared" si="36"/>
        <v>2600</v>
      </c>
      <c r="M116" s="383">
        <f t="shared" si="37"/>
        <v>2400</v>
      </c>
      <c r="N116" s="277">
        <f t="shared" si="38"/>
        <v>0.48</v>
      </c>
      <c r="O116" s="383">
        <f t="shared" si="39"/>
        <v>278.57142857142856</v>
      </c>
      <c r="P116" s="383">
        <f t="shared" si="40"/>
        <v>535.7142857142858</v>
      </c>
      <c r="Q116" s="374">
        <f t="shared" si="41"/>
        <v>257.1428571428572</v>
      </c>
      <c r="R116" s="374">
        <f t="shared" si="42"/>
        <v>428.57142857142856</v>
      </c>
      <c r="S116" s="385">
        <f t="shared" si="43"/>
        <v>2142.8571428571427</v>
      </c>
      <c r="T116" s="366">
        <v>1714.2857142857142</v>
      </c>
      <c r="W116" s="383"/>
      <c r="X116" s="383"/>
    </row>
    <row r="117" spans="1:24" ht="12" customHeight="1" outlineLevel="2">
      <c r="A117" s="80">
        <v>41290</v>
      </c>
      <c r="B117" s="382" t="s">
        <v>312</v>
      </c>
      <c r="C117" s="377" t="s">
        <v>439</v>
      </c>
      <c r="D117" s="378">
        <v>50</v>
      </c>
      <c r="E117" s="379">
        <v>20</v>
      </c>
      <c r="F117" s="380">
        <v>85</v>
      </c>
      <c r="G117" s="381">
        <f t="shared" si="35"/>
        <v>1700</v>
      </c>
      <c r="H117" s="382"/>
      <c r="I117" s="375">
        <v>1700</v>
      </c>
      <c r="J117" s="380">
        <v>1700</v>
      </c>
      <c r="K117" s="375" t="s">
        <v>84</v>
      </c>
      <c r="L117" s="383">
        <f t="shared" si="36"/>
        <v>1000</v>
      </c>
      <c r="M117" s="383">
        <f t="shared" si="37"/>
        <v>700</v>
      </c>
      <c r="N117" s="277">
        <f t="shared" si="38"/>
        <v>0.4117647058823529</v>
      </c>
      <c r="O117" s="383">
        <f t="shared" si="39"/>
        <v>107.14285714285714</v>
      </c>
      <c r="P117" s="383">
        <f t="shared" si="40"/>
        <v>182.14285714285714</v>
      </c>
      <c r="Q117" s="374">
        <f t="shared" si="41"/>
        <v>75</v>
      </c>
      <c r="R117" s="374">
        <f t="shared" si="42"/>
        <v>125</v>
      </c>
      <c r="S117" s="385">
        <f t="shared" si="43"/>
        <v>625</v>
      </c>
      <c r="T117" s="366">
        <v>500</v>
      </c>
      <c r="W117" s="383"/>
      <c r="X117" s="383"/>
    </row>
    <row r="118" spans="1:24" ht="12" customHeight="1" outlineLevel="2">
      <c r="A118" s="80">
        <v>41290</v>
      </c>
      <c r="B118" s="382" t="s">
        <v>312</v>
      </c>
      <c r="C118" s="377" t="s">
        <v>447</v>
      </c>
      <c r="D118" s="378">
        <v>100</v>
      </c>
      <c r="E118" s="379">
        <v>30</v>
      </c>
      <c r="F118" s="380">
        <v>160</v>
      </c>
      <c r="G118" s="381">
        <f t="shared" si="35"/>
        <v>4800</v>
      </c>
      <c r="H118" s="382"/>
      <c r="I118" s="375">
        <v>4800</v>
      </c>
      <c r="J118" s="380">
        <v>4800</v>
      </c>
      <c r="K118" s="375" t="s">
        <v>84</v>
      </c>
      <c r="L118" s="383">
        <f t="shared" si="36"/>
        <v>3000</v>
      </c>
      <c r="M118" s="383">
        <f t="shared" si="37"/>
        <v>1800</v>
      </c>
      <c r="N118" s="277">
        <f t="shared" si="38"/>
        <v>0.375</v>
      </c>
      <c r="O118" s="383">
        <f t="shared" si="39"/>
        <v>321.42857142857144</v>
      </c>
      <c r="P118" s="383">
        <f t="shared" si="40"/>
        <v>514.2857142857142</v>
      </c>
      <c r="Q118" s="374">
        <f t="shared" si="41"/>
        <v>192.85714285714278</v>
      </c>
      <c r="R118" s="374">
        <f t="shared" si="42"/>
        <v>321.42857142857144</v>
      </c>
      <c r="S118" s="385">
        <f t="shared" si="43"/>
        <v>1607.1428571428573</v>
      </c>
      <c r="T118" s="366">
        <v>1285.7142857142858</v>
      </c>
      <c r="W118" s="383"/>
      <c r="X118" s="383"/>
    </row>
    <row r="119" spans="1:24" ht="12" customHeight="1" outlineLevel="2">
      <c r="A119" s="80">
        <v>41290</v>
      </c>
      <c r="B119" s="382" t="s">
        <v>312</v>
      </c>
      <c r="C119" s="377" t="s">
        <v>448</v>
      </c>
      <c r="D119" s="378">
        <v>127</v>
      </c>
      <c r="E119" s="379">
        <v>30</v>
      </c>
      <c r="F119" s="380">
        <v>170</v>
      </c>
      <c r="G119" s="381">
        <f t="shared" si="35"/>
        <v>5100</v>
      </c>
      <c r="H119" s="382"/>
      <c r="I119" s="375">
        <v>5100</v>
      </c>
      <c r="J119" s="380">
        <v>5100</v>
      </c>
      <c r="K119" s="375" t="s">
        <v>84</v>
      </c>
      <c r="L119" s="383">
        <f t="shared" si="36"/>
        <v>3810</v>
      </c>
      <c r="M119" s="383">
        <f t="shared" si="37"/>
        <v>1290</v>
      </c>
      <c r="N119" s="277">
        <f t="shared" si="38"/>
        <v>0.2529411764705882</v>
      </c>
      <c r="O119" s="383">
        <f t="shared" si="39"/>
        <v>408.2142857142858</v>
      </c>
      <c r="P119" s="383">
        <f t="shared" si="40"/>
        <v>546.4285714285714</v>
      </c>
      <c r="Q119" s="374">
        <f t="shared" si="41"/>
        <v>138.21428571428567</v>
      </c>
      <c r="R119" s="374">
        <f t="shared" si="42"/>
        <v>230.35714285714283</v>
      </c>
      <c r="S119" s="385">
        <f t="shared" si="43"/>
        <v>1151.7857142857142</v>
      </c>
      <c r="T119" s="366">
        <v>921.4285714285713</v>
      </c>
      <c r="W119" s="383"/>
      <c r="X119" s="383"/>
    </row>
    <row r="120" spans="1:24" ht="27.75" customHeight="1" outlineLevel="2">
      <c r="A120" s="80">
        <v>41290</v>
      </c>
      <c r="B120" s="382" t="s">
        <v>312</v>
      </c>
      <c r="C120" s="377" t="s">
        <v>434</v>
      </c>
      <c r="D120" s="378">
        <v>165</v>
      </c>
      <c r="E120" s="379">
        <v>40</v>
      </c>
      <c r="F120" s="380">
        <v>210</v>
      </c>
      <c r="G120" s="381">
        <f t="shared" si="35"/>
        <v>8400</v>
      </c>
      <c r="H120" s="382"/>
      <c r="I120" s="375">
        <v>8400</v>
      </c>
      <c r="J120" s="380">
        <v>8400</v>
      </c>
      <c r="K120" s="375" t="s">
        <v>84</v>
      </c>
      <c r="L120" s="383">
        <f t="shared" si="36"/>
        <v>6600</v>
      </c>
      <c r="M120" s="383">
        <f t="shared" si="37"/>
        <v>1800</v>
      </c>
      <c r="N120" s="277">
        <f t="shared" si="38"/>
        <v>0.21428571428571427</v>
      </c>
      <c r="O120" s="383">
        <f t="shared" si="39"/>
        <v>707.1428571428571</v>
      </c>
      <c r="P120" s="383">
        <f t="shared" si="40"/>
        <v>900</v>
      </c>
      <c r="Q120" s="374">
        <f t="shared" si="41"/>
        <v>192.8571428571429</v>
      </c>
      <c r="R120" s="374">
        <f t="shared" si="42"/>
        <v>321.4285714285714</v>
      </c>
      <c r="S120" s="385">
        <f t="shared" si="43"/>
        <v>1607.142857142857</v>
      </c>
      <c r="T120" s="366">
        <v>1285.7142857142858</v>
      </c>
      <c r="W120" s="383"/>
      <c r="X120" s="383"/>
    </row>
    <row r="121" spans="1:24" ht="12" customHeight="1" outlineLevel="2">
      <c r="A121" s="80">
        <v>41290</v>
      </c>
      <c r="B121" s="382" t="s">
        <v>312</v>
      </c>
      <c r="C121" s="377" t="s">
        <v>449</v>
      </c>
      <c r="D121" s="378">
        <f>910/2</f>
        <v>455</v>
      </c>
      <c r="E121" s="379">
        <v>4</v>
      </c>
      <c r="F121" s="380">
        <v>640</v>
      </c>
      <c r="G121" s="381">
        <f t="shared" si="35"/>
        <v>2560</v>
      </c>
      <c r="H121" s="382"/>
      <c r="I121" s="375">
        <v>2560</v>
      </c>
      <c r="J121" s="380">
        <v>2560</v>
      </c>
      <c r="K121" s="375" t="s">
        <v>84</v>
      </c>
      <c r="L121" s="383">
        <f t="shared" si="36"/>
        <v>1820</v>
      </c>
      <c r="M121" s="383">
        <f t="shared" si="37"/>
        <v>740</v>
      </c>
      <c r="N121" s="277">
        <f t="shared" si="38"/>
        <v>0.2890625</v>
      </c>
      <c r="O121" s="383">
        <f t="shared" si="39"/>
        <v>195</v>
      </c>
      <c r="P121" s="383">
        <f t="shared" si="40"/>
        <v>274.2857142857143</v>
      </c>
      <c r="Q121" s="374">
        <f t="shared" si="41"/>
        <v>79.28571428571428</v>
      </c>
      <c r="R121" s="374">
        <f t="shared" si="42"/>
        <v>132.14285714285717</v>
      </c>
      <c r="S121" s="385">
        <f t="shared" si="43"/>
        <v>660.7142857142858</v>
      </c>
      <c r="T121" s="366">
        <v>528.5714285714287</v>
      </c>
      <c r="W121" s="383"/>
      <c r="X121" s="383"/>
    </row>
    <row r="122" spans="1:24" ht="27.75" customHeight="1" outlineLevel="2">
      <c r="A122" s="80">
        <v>41290</v>
      </c>
      <c r="B122" s="382" t="s">
        <v>312</v>
      </c>
      <c r="C122" s="377" t="s">
        <v>436</v>
      </c>
      <c r="D122" s="378">
        <v>152</v>
      </c>
      <c r="E122" s="379">
        <v>15</v>
      </c>
      <c r="F122" s="380">
        <v>350</v>
      </c>
      <c r="G122" s="381">
        <f t="shared" si="35"/>
        <v>5250</v>
      </c>
      <c r="H122" s="382"/>
      <c r="I122" s="375">
        <v>5250</v>
      </c>
      <c r="J122" s="380">
        <v>5250</v>
      </c>
      <c r="K122" s="375" t="s">
        <v>84</v>
      </c>
      <c r="L122" s="383">
        <f t="shared" si="36"/>
        <v>2280</v>
      </c>
      <c r="M122" s="383">
        <f t="shared" si="37"/>
        <v>2970</v>
      </c>
      <c r="N122" s="277">
        <f t="shared" si="38"/>
        <v>0.5657142857142857</v>
      </c>
      <c r="O122" s="383">
        <f t="shared" si="39"/>
        <v>244.28571428571428</v>
      </c>
      <c r="P122" s="383">
        <f t="shared" si="40"/>
        <v>562.5</v>
      </c>
      <c r="Q122" s="374">
        <f t="shared" si="41"/>
        <v>318.2142857142857</v>
      </c>
      <c r="R122" s="374">
        <f t="shared" si="42"/>
        <v>530.3571428571428</v>
      </c>
      <c r="S122" s="385">
        <f t="shared" si="43"/>
        <v>2651.785714285714</v>
      </c>
      <c r="T122" s="366">
        <v>2121.4285714285716</v>
      </c>
      <c r="W122" s="383"/>
      <c r="X122" s="383"/>
    </row>
    <row r="123" spans="1:24" ht="12" customHeight="1" outlineLevel="2">
      <c r="A123" s="80">
        <v>41290</v>
      </c>
      <c r="B123" s="382" t="s">
        <v>312</v>
      </c>
      <c r="C123" s="377" t="s">
        <v>450</v>
      </c>
      <c r="D123" s="378">
        <f>66/4</f>
        <v>16.5</v>
      </c>
      <c r="E123" s="379">
        <v>20</v>
      </c>
      <c r="F123" s="380">
        <v>20</v>
      </c>
      <c r="G123" s="381">
        <f t="shared" si="35"/>
        <v>400</v>
      </c>
      <c r="H123" s="382"/>
      <c r="I123" s="375">
        <v>400</v>
      </c>
      <c r="J123" s="380">
        <v>400</v>
      </c>
      <c r="K123" s="375" t="s">
        <v>84</v>
      </c>
      <c r="L123" s="383">
        <f t="shared" si="36"/>
        <v>330</v>
      </c>
      <c r="M123" s="383">
        <f t="shared" si="37"/>
        <v>70</v>
      </c>
      <c r="N123" s="277">
        <f t="shared" si="38"/>
        <v>0.175</v>
      </c>
      <c r="O123" s="383">
        <f t="shared" si="39"/>
        <v>35.35714285714286</v>
      </c>
      <c r="P123" s="383">
        <f t="shared" si="40"/>
        <v>42.85714285714286</v>
      </c>
      <c r="Q123" s="374">
        <f t="shared" si="41"/>
        <v>7.5</v>
      </c>
      <c r="R123" s="374">
        <f t="shared" si="42"/>
        <v>12.5</v>
      </c>
      <c r="S123" s="385">
        <f t="shared" si="43"/>
        <v>62.5</v>
      </c>
      <c r="T123" s="366">
        <v>50</v>
      </c>
      <c r="W123" s="383"/>
      <c r="X123" s="383"/>
    </row>
    <row r="124" spans="1:24" ht="27.75" customHeight="1" outlineLevel="2">
      <c r="A124" s="80">
        <v>41290</v>
      </c>
      <c r="B124" s="382" t="s">
        <v>312</v>
      </c>
      <c r="C124" s="377" t="s">
        <v>451</v>
      </c>
      <c r="D124" s="378">
        <v>93</v>
      </c>
      <c r="E124" s="379">
        <v>12</v>
      </c>
      <c r="F124" s="380">
        <v>115</v>
      </c>
      <c r="G124" s="381">
        <f t="shared" si="35"/>
        <v>1380</v>
      </c>
      <c r="H124" s="382"/>
      <c r="I124" s="375">
        <v>1380</v>
      </c>
      <c r="J124" s="380">
        <v>1380</v>
      </c>
      <c r="K124" s="375" t="s">
        <v>84</v>
      </c>
      <c r="L124" s="383">
        <f t="shared" si="36"/>
        <v>1116</v>
      </c>
      <c r="M124" s="383">
        <f t="shared" si="37"/>
        <v>264</v>
      </c>
      <c r="N124" s="277">
        <f t="shared" si="38"/>
        <v>0.19130434782608696</v>
      </c>
      <c r="O124" s="383">
        <f t="shared" si="39"/>
        <v>119.57142857142856</v>
      </c>
      <c r="P124" s="383">
        <f t="shared" si="40"/>
        <v>147.85714285714286</v>
      </c>
      <c r="Q124" s="374">
        <f t="shared" si="41"/>
        <v>28.285714285714306</v>
      </c>
      <c r="R124" s="374">
        <f t="shared" si="42"/>
        <v>47.14285714285714</v>
      </c>
      <c r="S124" s="385">
        <f t="shared" si="43"/>
        <v>235.7142857142857</v>
      </c>
      <c r="T124" s="366">
        <v>188.57142857142856</v>
      </c>
      <c r="W124" s="383"/>
      <c r="X124" s="383"/>
    </row>
    <row r="125" spans="1:24" ht="12" customHeight="1" outlineLevel="2">
      <c r="A125" s="80">
        <v>41290</v>
      </c>
      <c r="B125" s="382" t="s">
        <v>312</v>
      </c>
      <c r="C125" s="377" t="s">
        <v>452</v>
      </c>
      <c r="D125" s="378">
        <v>35</v>
      </c>
      <c r="E125" s="379">
        <v>15</v>
      </c>
      <c r="F125" s="380">
        <v>75</v>
      </c>
      <c r="G125" s="381">
        <f t="shared" si="35"/>
        <v>1125</v>
      </c>
      <c r="H125" s="382"/>
      <c r="I125" s="375">
        <v>1125</v>
      </c>
      <c r="J125" s="380">
        <v>1125</v>
      </c>
      <c r="K125" s="375" t="s">
        <v>84</v>
      </c>
      <c r="L125" s="383">
        <f t="shared" si="36"/>
        <v>525</v>
      </c>
      <c r="M125" s="383">
        <f t="shared" si="37"/>
        <v>600</v>
      </c>
      <c r="N125" s="277">
        <f t="shared" si="38"/>
        <v>0.5333333333333333</v>
      </c>
      <c r="O125" s="383">
        <f t="shared" si="39"/>
        <v>56.25</v>
      </c>
      <c r="P125" s="383">
        <f t="shared" si="40"/>
        <v>120.53571428571429</v>
      </c>
      <c r="Q125" s="374">
        <f t="shared" si="41"/>
        <v>64.28571428571429</v>
      </c>
      <c r="R125" s="374">
        <f t="shared" si="42"/>
        <v>107.14285714285714</v>
      </c>
      <c r="S125" s="385">
        <f t="shared" si="43"/>
        <v>535.7142857142857</v>
      </c>
      <c r="T125" s="366">
        <v>428.57142857142856</v>
      </c>
      <c r="W125" s="383"/>
      <c r="X125" s="383"/>
    </row>
    <row r="126" spans="1:24" ht="27.75" customHeight="1" outlineLevel="2">
      <c r="A126" s="80">
        <v>41290</v>
      </c>
      <c r="B126" s="382" t="s">
        <v>312</v>
      </c>
      <c r="C126" s="377" t="s">
        <v>453</v>
      </c>
      <c r="D126" s="378">
        <v>211</v>
      </c>
      <c r="E126" s="379">
        <v>10</v>
      </c>
      <c r="F126" s="380">
        <v>350</v>
      </c>
      <c r="G126" s="381">
        <f t="shared" si="35"/>
        <v>3500</v>
      </c>
      <c r="H126" s="382"/>
      <c r="I126" s="375">
        <v>3500</v>
      </c>
      <c r="J126" s="380">
        <v>3500</v>
      </c>
      <c r="K126" s="375" t="s">
        <v>84</v>
      </c>
      <c r="L126" s="383">
        <f t="shared" si="36"/>
        <v>2110</v>
      </c>
      <c r="M126" s="383">
        <f t="shared" si="37"/>
        <v>1390</v>
      </c>
      <c r="N126" s="277">
        <f t="shared" si="38"/>
        <v>0.39714285714285713</v>
      </c>
      <c r="O126" s="383">
        <f t="shared" si="39"/>
        <v>226.07142857142858</v>
      </c>
      <c r="P126" s="383">
        <f t="shared" si="40"/>
        <v>375</v>
      </c>
      <c r="Q126" s="374">
        <f t="shared" si="41"/>
        <v>148.92857142857142</v>
      </c>
      <c r="R126" s="374">
        <f t="shared" si="42"/>
        <v>248.21428571428572</v>
      </c>
      <c r="S126" s="385">
        <f t="shared" si="43"/>
        <v>1241.0714285714287</v>
      </c>
      <c r="T126" s="366">
        <v>992.8571428571429</v>
      </c>
      <c r="W126" s="383"/>
      <c r="X126" s="383"/>
    </row>
    <row r="127" spans="1:20" ht="12" customHeight="1" outlineLevel="2">
      <c r="A127" s="80">
        <v>41290</v>
      </c>
      <c r="B127" s="382" t="s">
        <v>312</v>
      </c>
      <c r="C127" s="384" t="s">
        <v>454</v>
      </c>
      <c r="D127" s="378">
        <v>169</v>
      </c>
      <c r="E127" s="387">
        <v>10</v>
      </c>
      <c r="F127" s="380">
        <v>220</v>
      </c>
      <c r="G127" s="381">
        <f t="shared" si="35"/>
        <v>2200</v>
      </c>
      <c r="H127" s="382"/>
      <c r="I127" s="375">
        <v>2200</v>
      </c>
      <c r="J127" s="380">
        <v>2200</v>
      </c>
      <c r="K127" s="375" t="s">
        <v>84</v>
      </c>
      <c r="L127" s="383">
        <f t="shared" si="36"/>
        <v>1690</v>
      </c>
      <c r="M127" s="383">
        <f t="shared" si="37"/>
        <v>510</v>
      </c>
      <c r="N127" s="277">
        <f t="shared" si="38"/>
        <v>0.2318181818181818</v>
      </c>
      <c r="O127" s="383">
        <f t="shared" si="39"/>
        <v>181.07142857142856</v>
      </c>
      <c r="P127" s="383">
        <f t="shared" si="40"/>
        <v>235.71428571428572</v>
      </c>
      <c r="Q127" s="374">
        <f t="shared" si="41"/>
        <v>54.64285714285717</v>
      </c>
      <c r="R127" s="374">
        <f t="shared" si="42"/>
        <v>91.07142857142857</v>
      </c>
      <c r="S127" s="385">
        <f t="shared" si="43"/>
        <v>455.35714285714283</v>
      </c>
      <c r="T127" s="366">
        <v>364.2857142857143</v>
      </c>
    </row>
    <row r="128" spans="1:21" s="444" customFormat="1" ht="12" customHeight="1" outlineLevel="1">
      <c r="A128" s="433"/>
      <c r="B128" s="440" t="s">
        <v>348</v>
      </c>
      <c r="C128" s="448"/>
      <c r="D128" s="437">
        <f>SUBTOTAL(9,D114:D127)</f>
        <v>1828.5</v>
      </c>
      <c r="E128" s="473">
        <f>SUBTOTAL(9,E114:E127)</f>
        <v>911</v>
      </c>
      <c r="F128" s="439"/>
      <c r="G128" s="440">
        <f>SUBTOTAL(9,G114:G127)</f>
        <v>69065</v>
      </c>
      <c r="H128" s="441">
        <f>SUBTOTAL(9,H114:H127)</f>
        <v>0</v>
      </c>
      <c r="I128" s="434">
        <f>SUBTOTAL(9,I114:I127)</f>
        <v>69065</v>
      </c>
      <c r="J128" s="439">
        <v>69065</v>
      </c>
      <c r="K128" s="434" t="s">
        <v>84</v>
      </c>
      <c r="L128" s="442">
        <f>SUBTOTAL(9,L114:L127)</f>
        <v>45281</v>
      </c>
      <c r="M128" s="442">
        <f>SUBTOTAL(9,M114:M127)</f>
        <v>23784</v>
      </c>
      <c r="N128" s="443"/>
      <c r="O128" s="442"/>
      <c r="P128" s="442"/>
      <c r="Q128" s="444">
        <f>SUBTOTAL(9,Q114:Q127)</f>
        <v>2548.285714285714</v>
      </c>
      <c r="R128" s="444">
        <f>SUBTOTAL(9,R114:R127)</f>
        <v>4247.142857142858</v>
      </c>
      <c r="S128" s="445">
        <f>SUBTOTAL(9,S114:S127)</f>
        <v>21235.714285714286</v>
      </c>
      <c r="T128" s="446">
        <v>16988.57142857143</v>
      </c>
      <c r="U128" s="446"/>
    </row>
    <row r="129" spans="1:20" ht="12" customHeight="1" outlineLevel="2">
      <c r="A129" s="80">
        <v>41299</v>
      </c>
      <c r="B129" s="590" t="s">
        <v>258</v>
      </c>
      <c r="C129" s="377" t="s">
        <v>459</v>
      </c>
      <c r="D129" s="378">
        <v>15200</v>
      </c>
      <c r="E129" s="387">
        <v>1</v>
      </c>
      <c r="F129" s="380">
        <v>17500</v>
      </c>
      <c r="G129" s="381">
        <f>F129*E129</f>
        <v>17500</v>
      </c>
      <c r="H129" s="382"/>
      <c r="I129" s="375"/>
      <c r="J129" s="380">
        <v>17500</v>
      </c>
      <c r="K129" s="375" t="s">
        <v>84</v>
      </c>
      <c r="L129" s="383">
        <f>E129*D129</f>
        <v>15200</v>
      </c>
      <c r="M129" s="383">
        <f>G129-L129</f>
        <v>2300</v>
      </c>
      <c r="N129" s="277">
        <f>M129/G129</f>
        <v>0.13142857142857142</v>
      </c>
      <c r="O129" s="383">
        <f>(E129*D129)/112*12</f>
        <v>1628.5714285714287</v>
      </c>
      <c r="P129" s="383">
        <f>G129/112*12</f>
        <v>1875</v>
      </c>
      <c r="Q129" s="374">
        <f>IF(SUM(H129:I129)&gt;0,(P129-O129),0)</f>
        <v>0</v>
      </c>
      <c r="R129" s="374">
        <f>IF(SUM(H129:I129)&gt;0,((M129-Q129)*20/100),0)</f>
        <v>0</v>
      </c>
      <c r="S129" s="385">
        <f>G129-L129-Q129</f>
        <v>2300</v>
      </c>
      <c r="T129" s="366">
        <v>2300</v>
      </c>
    </row>
    <row r="130" spans="1:21" s="444" customFormat="1" ht="12" customHeight="1" outlineLevel="1">
      <c r="A130" s="433"/>
      <c r="B130" s="447" t="s">
        <v>284</v>
      </c>
      <c r="C130" s="436"/>
      <c r="D130" s="437">
        <f>SUBTOTAL(9,D129:D129)</f>
        <v>15200</v>
      </c>
      <c r="E130" s="473">
        <f>SUBTOTAL(9,E129:E129)</f>
        <v>1</v>
      </c>
      <c r="F130" s="439"/>
      <c r="G130" s="440">
        <f>SUBTOTAL(9,G129:G129)</f>
        <v>17500</v>
      </c>
      <c r="H130" s="441">
        <f>SUBTOTAL(9,H129:H129)</f>
        <v>0</v>
      </c>
      <c r="I130" s="434">
        <f>SUBTOTAL(9,I129:I129)</f>
        <v>0</v>
      </c>
      <c r="J130" s="439">
        <v>17500</v>
      </c>
      <c r="K130" s="434" t="s">
        <v>84</v>
      </c>
      <c r="L130" s="442">
        <f>SUBTOTAL(9,L129:L129)</f>
        <v>15200</v>
      </c>
      <c r="M130" s="442">
        <f>SUBTOTAL(9,M129:M129)</f>
        <v>2300</v>
      </c>
      <c r="N130" s="443"/>
      <c r="O130" s="442"/>
      <c r="P130" s="442"/>
      <c r="Q130" s="444">
        <f>SUBTOTAL(9,Q129:Q129)</f>
        <v>0</v>
      </c>
      <c r="R130" s="444">
        <f>SUBTOTAL(9,R129:R129)</f>
        <v>0</v>
      </c>
      <c r="S130" s="445">
        <f>SUBTOTAL(9,S129:S129)</f>
        <v>2300</v>
      </c>
      <c r="T130" s="446">
        <v>2300</v>
      </c>
      <c r="U130" s="446"/>
    </row>
    <row r="131" spans="1:20" ht="27.75" customHeight="1" outlineLevel="2">
      <c r="A131" s="80">
        <v>41294</v>
      </c>
      <c r="B131" s="376" t="s">
        <v>272</v>
      </c>
      <c r="C131" s="377" t="s">
        <v>360</v>
      </c>
      <c r="D131" s="378">
        <v>29</v>
      </c>
      <c r="E131" s="387">
        <v>10</v>
      </c>
      <c r="F131" s="380">
        <v>50</v>
      </c>
      <c r="G131" s="381">
        <f>F131*E131</f>
        <v>500</v>
      </c>
      <c r="H131" s="382"/>
      <c r="I131" s="375"/>
      <c r="J131" s="380">
        <v>500</v>
      </c>
      <c r="K131" s="375" t="s">
        <v>84</v>
      </c>
      <c r="L131" s="383">
        <f>E131*D131</f>
        <v>290</v>
      </c>
      <c r="M131" s="383">
        <f>G131-L131</f>
        <v>210</v>
      </c>
      <c r="N131" s="277">
        <f>M131/G131</f>
        <v>0.42</v>
      </c>
      <c r="O131" s="383">
        <f>(E131*D131)/112*12</f>
        <v>31.071428571428573</v>
      </c>
      <c r="P131" s="383">
        <f>G131/112*12</f>
        <v>53.57142857142857</v>
      </c>
      <c r="Q131" s="374">
        <f>IF(SUM(H131:I131)&gt;0,(P131-O131),0)</f>
        <v>0</v>
      </c>
      <c r="R131" s="374">
        <f>IF(SUM(H131:I131)&gt;0,((M131-Q131)*20/100),0)</f>
        <v>0</v>
      </c>
      <c r="S131" s="385">
        <f>G131-L131-Q131</f>
        <v>210</v>
      </c>
      <c r="T131" s="366">
        <v>210</v>
      </c>
    </row>
    <row r="132" spans="1:20" ht="12" customHeight="1" outlineLevel="2">
      <c r="A132" s="80">
        <v>41294</v>
      </c>
      <c r="B132" s="376" t="s">
        <v>272</v>
      </c>
      <c r="C132" s="377" t="s">
        <v>405</v>
      </c>
      <c r="D132" s="378">
        <v>50</v>
      </c>
      <c r="E132" s="387">
        <v>5</v>
      </c>
      <c r="F132" s="380">
        <v>100</v>
      </c>
      <c r="G132" s="381">
        <f>F132*E132</f>
        <v>500</v>
      </c>
      <c r="H132" s="382"/>
      <c r="I132" s="375"/>
      <c r="J132" s="380">
        <v>500</v>
      </c>
      <c r="K132" s="375" t="s">
        <v>84</v>
      </c>
      <c r="L132" s="383">
        <f>E132*D132</f>
        <v>250</v>
      </c>
      <c r="M132" s="383">
        <f>G132-L132</f>
        <v>250</v>
      </c>
      <c r="N132" s="277">
        <f>M132/G132</f>
        <v>0.5</v>
      </c>
      <c r="O132" s="383">
        <f>(E132*D132)/112*12</f>
        <v>26.785714285714285</v>
      </c>
      <c r="P132" s="383">
        <f>G132/112*12</f>
        <v>53.57142857142857</v>
      </c>
      <c r="Q132" s="374">
        <f>IF(SUM(H132:I132)&gt;0,(P132-O132),0)</f>
        <v>0</v>
      </c>
      <c r="R132" s="374">
        <f>IF(SUM(H132:I132)&gt;0,((M132-Q132)*20/100),0)</f>
        <v>0</v>
      </c>
      <c r="S132" s="385">
        <f>G132-L132-Q132</f>
        <v>250</v>
      </c>
      <c r="T132" s="366">
        <v>250</v>
      </c>
    </row>
    <row r="133" spans="1:21" s="444" customFormat="1" ht="12" customHeight="1" outlineLevel="1">
      <c r="A133" s="433"/>
      <c r="B133" s="447" t="s">
        <v>350</v>
      </c>
      <c r="C133" s="436"/>
      <c r="D133" s="437">
        <f>SUBTOTAL(9,D131:D132)</f>
        <v>79</v>
      </c>
      <c r="E133" s="473">
        <f>SUBTOTAL(9,E131:E132)</f>
        <v>15</v>
      </c>
      <c r="F133" s="439"/>
      <c r="G133" s="440">
        <f>SUBTOTAL(9,G131:G132)</f>
        <v>1000</v>
      </c>
      <c r="H133" s="441">
        <f>SUBTOTAL(9,H131:H132)</f>
        <v>0</v>
      </c>
      <c r="I133" s="434">
        <f>SUBTOTAL(9,I131:I132)</f>
        <v>0</v>
      </c>
      <c r="J133" s="439">
        <v>1000</v>
      </c>
      <c r="K133" s="434" t="s">
        <v>84</v>
      </c>
      <c r="L133" s="442">
        <f>SUBTOTAL(9,L131:L132)</f>
        <v>540</v>
      </c>
      <c r="M133" s="442">
        <f>SUBTOTAL(9,M131:M132)</f>
        <v>460</v>
      </c>
      <c r="N133" s="443"/>
      <c r="O133" s="442"/>
      <c r="P133" s="442"/>
      <c r="Q133" s="444">
        <f>SUBTOTAL(9,Q131:Q132)</f>
        <v>0</v>
      </c>
      <c r="R133" s="444">
        <f>SUBTOTAL(9,R131:R132)</f>
        <v>0</v>
      </c>
      <c r="S133" s="445">
        <f>SUBTOTAL(9,S131:S132)</f>
        <v>460</v>
      </c>
      <c r="T133" s="446">
        <v>460</v>
      </c>
      <c r="U133" s="446"/>
    </row>
    <row r="134" spans="1:22" ht="12" customHeight="1">
      <c r="A134" s="406" t="s">
        <v>0</v>
      </c>
      <c r="B134" s="408" t="s">
        <v>253</v>
      </c>
      <c r="C134" s="408"/>
      <c r="D134" s="409">
        <f>SUBTOTAL(9,D10:D132)</f>
        <v>104482.5</v>
      </c>
      <c r="E134" s="410">
        <f>SUBTOTAL(9,E10:E132)</f>
        <v>2550</v>
      </c>
      <c r="F134" s="389"/>
      <c r="G134" s="370">
        <f>SUBTOTAL(9,G4:G132)</f>
        <v>781848</v>
      </c>
      <c r="H134" s="370">
        <f aca="true" t="shared" si="44" ref="H134:T134">SUBTOTAL(9,H4:H132)</f>
        <v>39360</v>
      </c>
      <c r="I134" s="370">
        <f>SUBTOTAL(9,I2:I132)</f>
        <v>576366</v>
      </c>
      <c r="J134" s="370">
        <f>SUBTOTAL(9,J2:J132)</f>
        <v>1494075</v>
      </c>
      <c r="K134" s="370">
        <f t="shared" si="44"/>
        <v>0</v>
      </c>
      <c r="L134" s="370">
        <f t="shared" si="44"/>
        <v>586682</v>
      </c>
      <c r="M134" s="370">
        <f t="shared" si="44"/>
        <v>195166</v>
      </c>
      <c r="N134" s="277">
        <f>M134/G134</f>
        <v>0.2496214097880918</v>
      </c>
      <c r="O134" s="370">
        <f t="shared" si="44"/>
        <v>62858.785714285696</v>
      </c>
      <c r="P134" s="370">
        <f t="shared" si="44"/>
        <v>83769.42857142855</v>
      </c>
      <c r="Q134" s="370">
        <f t="shared" si="44"/>
        <v>14127.214285714284</v>
      </c>
      <c r="R134" s="370">
        <f t="shared" si="44"/>
        <v>23545.35714285715</v>
      </c>
      <c r="S134" s="370">
        <f t="shared" si="44"/>
        <v>181038.7857142857</v>
      </c>
      <c r="T134" s="370">
        <f t="shared" si="44"/>
        <v>351283.14285714284</v>
      </c>
      <c r="U134" s="390"/>
      <c r="V134" s="391">
        <f>T134-U134</f>
        <v>351283.14285714284</v>
      </c>
    </row>
    <row r="135" spans="1:21" s="383" customFormat="1" ht="12.75">
      <c r="A135" s="224"/>
      <c r="B135" s="392"/>
      <c r="C135" s="393"/>
      <c r="D135" s="394"/>
      <c r="E135" s="395"/>
      <c r="F135" s="391"/>
      <c r="G135" s="396"/>
      <c r="H135" s="392"/>
      <c r="J135" s="391"/>
      <c r="N135" s="277"/>
      <c r="T135" s="397"/>
      <c r="U135" s="397"/>
    </row>
    <row r="136" spans="1:21" s="383" customFormat="1" ht="12.75">
      <c r="A136" s="224"/>
      <c r="B136" s="392"/>
      <c r="C136" s="393"/>
      <c r="D136" s="394"/>
      <c r="E136" s="395"/>
      <c r="F136" s="391"/>
      <c r="G136" s="396"/>
      <c r="H136" s="392"/>
      <c r="J136" s="391"/>
      <c r="N136" s="277"/>
      <c r="T136" s="397"/>
      <c r="U136" s="397"/>
    </row>
    <row r="137" spans="1:21" s="383" customFormat="1" ht="12.75">
      <c r="A137" s="224"/>
      <c r="B137" s="392"/>
      <c r="C137" s="393"/>
      <c r="D137" s="394"/>
      <c r="E137" s="395"/>
      <c r="F137" s="391"/>
      <c r="G137" s="396"/>
      <c r="H137" s="392"/>
      <c r="J137" s="391"/>
      <c r="N137" s="277"/>
      <c r="T137" s="397"/>
      <c r="U137" s="397"/>
    </row>
    <row r="138" spans="1:21" s="383" customFormat="1" ht="12.75">
      <c r="A138" s="224"/>
      <c r="B138" s="392"/>
      <c r="C138" s="393"/>
      <c r="D138" s="394"/>
      <c r="E138" s="395"/>
      <c r="F138" s="391"/>
      <c r="G138" s="396"/>
      <c r="H138" s="392"/>
      <c r="J138" s="391"/>
      <c r="N138" s="277"/>
      <c r="T138" s="397"/>
      <c r="U138" s="397"/>
    </row>
    <row r="139" spans="1:21" s="383" customFormat="1" ht="12.75">
      <c r="A139" s="224"/>
      <c r="B139" s="392"/>
      <c r="C139" s="393"/>
      <c r="D139" s="394"/>
      <c r="E139" s="395"/>
      <c r="F139" s="391"/>
      <c r="G139" s="396"/>
      <c r="H139" s="392"/>
      <c r="J139" s="391"/>
      <c r="N139" s="277"/>
      <c r="T139" s="397"/>
      <c r="U139" s="397"/>
    </row>
    <row r="140" spans="1:21" s="383" customFormat="1" ht="12.75">
      <c r="A140" s="224"/>
      <c r="B140" s="392"/>
      <c r="C140" s="393"/>
      <c r="D140" s="394"/>
      <c r="E140" s="395"/>
      <c r="F140" s="391"/>
      <c r="G140" s="396"/>
      <c r="H140" s="392"/>
      <c r="J140" s="391"/>
      <c r="N140" s="277"/>
      <c r="T140" s="397"/>
      <c r="U140" s="397"/>
    </row>
    <row r="141" spans="1:21" s="383" customFormat="1" ht="12.75">
      <c r="A141" s="224"/>
      <c r="B141" s="392"/>
      <c r="C141" s="393"/>
      <c r="D141" s="394"/>
      <c r="E141" s="395"/>
      <c r="F141" s="391"/>
      <c r="G141" s="396"/>
      <c r="H141" s="392"/>
      <c r="J141" s="391"/>
      <c r="N141" s="277"/>
      <c r="T141" s="397"/>
      <c r="U141" s="397"/>
    </row>
    <row r="142" spans="1:21" s="383" customFormat="1" ht="12.75">
      <c r="A142" s="224"/>
      <c r="B142" s="392"/>
      <c r="C142" s="393"/>
      <c r="D142" s="394"/>
      <c r="E142" s="395"/>
      <c r="F142" s="391"/>
      <c r="G142" s="396"/>
      <c r="H142" s="392"/>
      <c r="J142" s="391"/>
      <c r="N142" s="277"/>
      <c r="T142" s="397"/>
      <c r="U142" s="397"/>
    </row>
    <row r="143" spans="1:21" s="383" customFormat="1" ht="12.75">
      <c r="A143" s="224"/>
      <c r="B143" s="392"/>
      <c r="C143" s="393"/>
      <c r="D143" s="394"/>
      <c r="E143" s="395"/>
      <c r="F143" s="391"/>
      <c r="G143" s="396"/>
      <c r="H143" s="392"/>
      <c r="J143" s="391"/>
      <c r="N143" s="277"/>
      <c r="T143" s="397"/>
      <c r="U143" s="397"/>
    </row>
    <row r="144" spans="1:21" s="383" customFormat="1" ht="12.75">
      <c r="A144" s="224"/>
      <c r="B144" s="392"/>
      <c r="C144" s="393"/>
      <c r="D144" s="394"/>
      <c r="E144" s="395"/>
      <c r="F144" s="391"/>
      <c r="G144" s="396"/>
      <c r="H144" s="392"/>
      <c r="J144" s="391"/>
      <c r="N144" s="277"/>
      <c r="T144" s="397"/>
      <c r="U144" s="397"/>
    </row>
    <row r="145" spans="1:21" s="383" customFormat="1" ht="12.75">
      <c r="A145" s="224"/>
      <c r="B145" s="392"/>
      <c r="C145" s="393"/>
      <c r="D145" s="394"/>
      <c r="E145" s="395"/>
      <c r="F145" s="391"/>
      <c r="G145" s="396"/>
      <c r="H145" s="392"/>
      <c r="J145" s="391"/>
      <c r="N145" s="277"/>
      <c r="T145" s="397"/>
      <c r="U145" s="397"/>
    </row>
    <row r="146" spans="1:21" s="383" customFormat="1" ht="12.75">
      <c r="A146" s="224"/>
      <c r="B146" s="392"/>
      <c r="C146" s="393"/>
      <c r="D146" s="394"/>
      <c r="E146" s="395"/>
      <c r="F146" s="391"/>
      <c r="G146" s="396"/>
      <c r="H146" s="392"/>
      <c r="J146" s="391"/>
      <c r="N146" s="277"/>
      <c r="T146" s="397"/>
      <c r="U146" s="397"/>
    </row>
    <row r="147" spans="1:21" s="383" customFormat="1" ht="12.75">
      <c r="A147" s="224"/>
      <c r="B147" s="392"/>
      <c r="C147" s="393"/>
      <c r="D147" s="394"/>
      <c r="E147" s="395"/>
      <c r="F147" s="391"/>
      <c r="G147" s="396"/>
      <c r="H147" s="392"/>
      <c r="J147" s="391"/>
      <c r="N147" s="277"/>
      <c r="T147" s="397"/>
      <c r="U147" s="397"/>
    </row>
    <row r="148" spans="1:21" s="383" customFormat="1" ht="12.75">
      <c r="A148" s="224"/>
      <c r="B148" s="392"/>
      <c r="C148" s="393"/>
      <c r="D148" s="394"/>
      <c r="E148" s="395"/>
      <c r="F148" s="391"/>
      <c r="G148" s="396"/>
      <c r="H148" s="392"/>
      <c r="J148" s="391"/>
      <c r="N148" s="277"/>
      <c r="T148" s="397"/>
      <c r="U148" s="397"/>
    </row>
    <row r="149" spans="1:21" s="383" customFormat="1" ht="12.75">
      <c r="A149" s="224"/>
      <c r="B149" s="392"/>
      <c r="C149" s="393"/>
      <c r="D149" s="394"/>
      <c r="E149" s="395"/>
      <c r="F149" s="391"/>
      <c r="G149" s="396"/>
      <c r="H149" s="392"/>
      <c r="J149" s="391"/>
      <c r="N149" s="277"/>
      <c r="T149" s="397"/>
      <c r="U149" s="397"/>
    </row>
    <row r="150" spans="1:21" s="383" customFormat="1" ht="12.75">
      <c r="A150" s="224"/>
      <c r="B150" s="392"/>
      <c r="C150" s="393"/>
      <c r="D150" s="394"/>
      <c r="E150" s="395"/>
      <c r="F150" s="391"/>
      <c r="G150" s="396"/>
      <c r="H150" s="392"/>
      <c r="J150" s="391"/>
      <c r="N150" s="277"/>
      <c r="T150" s="397"/>
      <c r="U150" s="397"/>
    </row>
    <row r="151" spans="1:21" s="383" customFormat="1" ht="12.75">
      <c r="A151" s="224"/>
      <c r="B151" s="392"/>
      <c r="C151" s="393"/>
      <c r="D151" s="394"/>
      <c r="E151" s="395"/>
      <c r="F151" s="391"/>
      <c r="G151" s="396"/>
      <c r="H151" s="392"/>
      <c r="J151" s="391"/>
      <c r="N151" s="277"/>
      <c r="T151" s="397"/>
      <c r="U151" s="397"/>
    </row>
    <row r="152" spans="1:21" s="383" customFormat="1" ht="12.75">
      <c r="A152" s="224"/>
      <c r="B152" s="392"/>
      <c r="C152" s="393"/>
      <c r="D152" s="394"/>
      <c r="E152" s="395"/>
      <c r="F152" s="391"/>
      <c r="G152" s="396"/>
      <c r="H152" s="392"/>
      <c r="J152" s="391"/>
      <c r="N152" s="277"/>
      <c r="T152" s="397"/>
      <c r="U152" s="397"/>
    </row>
    <row r="153" spans="1:21" s="383" customFormat="1" ht="12.75">
      <c r="A153" s="224"/>
      <c r="B153" s="392"/>
      <c r="C153" s="393"/>
      <c r="D153" s="394"/>
      <c r="E153" s="395"/>
      <c r="F153" s="391"/>
      <c r="G153" s="396"/>
      <c r="H153" s="392"/>
      <c r="J153" s="391"/>
      <c r="N153" s="277"/>
      <c r="T153" s="397"/>
      <c r="U153" s="397"/>
    </row>
    <row r="154" spans="1:21" s="383" customFormat="1" ht="12.75">
      <c r="A154" s="224"/>
      <c r="B154" s="392"/>
      <c r="C154" s="393"/>
      <c r="D154" s="394"/>
      <c r="E154" s="395"/>
      <c r="F154" s="391"/>
      <c r="G154" s="396"/>
      <c r="H154" s="392"/>
      <c r="J154" s="391"/>
      <c r="N154" s="277"/>
      <c r="T154" s="397"/>
      <c r="U154" s="397"/>
    </row>
    <row r="155" spans="1:21" s="383" customFormat="1" ht="12.75">
      <c r="A155" s="224"/>
      <c r="B155" s="392"/>
      <c r="C155" s="393"/>
      <c r="D155" s="394"/>
      <c r="E155" s="395"/>
      <c r="F155" s="391"/>
      <c r="G155" s="396"/>
      <c r="H155" s="392"/>
      <c r="J155" s="391"/>
      <c r="N155" s="277"/>
      <c r="T155" s="397"/>
      <c r="U155" s="397"/>
    </row>
    <row r="156" spans="1:21" s="383" customFormat="1" ht="12.75">
      <c r="A156" s="224"/>
      <c r="B156" s="392"/>
      <c r="C156" s="393"/>
      <c r="D156" s="394"/>
      <c r="E156" s="395"/>
      <c r="F156" s="391"/>
      <c r="G156" s="396"/>
      <c r="H156" s="392"/>
      <c r="J156" s="391"/>
      <c r="N156" s="277"/>
      <c r="T156" s="397"/>
      <c r="U156" s="397"/>
    </row>
    <row r="157" spans="1:21" s="383" customFormat="1" ht="12.75">
      <c r="A157" s="224"/>
      <c r="B157" s="392"/>
      <c r="C157" s="393"/>
      <c r="D157" s="394"/>
      <c r="E157" s="395"/>
      <c r="F157" s="391"/>
      <c r="G157" s="396"/>
      <c r="H157" s="392"/>
      <c r="J157" s="391"/>
      <c r="N157" s="277"/>
      <c r="T157" s="397"/>
      <c r="U157" s="397"/>
    </row>
    <row r="158" spans="1:21" s="383" customFormat="1" ht="12.75">
      <c r="A158" s="224"/>
      <c r="B158" s="392"/>
      <c r="C158" s="393"/>
      <c r="D158" s="394"/>
      <c r="E158" s="395"/>
      <c r="F158" s="391"/>
      <c r="G158" s="396"/>
      <c r="H158" s="392"/>
      <c r="J158" s="391"/>
      <c r="N158" s="277"/>
      <c r="T158" s="397"/>
      <c r="U158" s="397"/>
    </row>
    <row r="159" spans="1:21" s="383" customFormat="1" ht="12.75">
      <c r="A159" s="224"/>
      <c r="B159" s="392"/>
      <c r="C159" s="393"/>
      <c r="D159" s="394"/>
      <c r="E159" s="395"/>
      <c r="F159" s="391"/>
      <c r="G159" s="396"/>
      <c r="H159" s="392"/>
      <c r="J159" s="391"/>
      <c r="N159" s="277"/>
      <c r="T159" s="397"/>
      <c r="U159" s="397"/>
    </row>
    <row r="160" spans="1:21" s="383" customFormat="1" ht="12.75">
      <c r="A160" s="224"/>
      <c r="B160" s="392"/>
      <c r="C160" s="393"/>
      <c r="D160" s="394"/>
      <c r="E160" s="395"/>
      <c r="F160" s="391"/>
      <c r="G160" s="396"/>
      <c r="H160" s="392"/>
      <c r="J160" s="391"/>
      <c r="N160" s="277"/>
      <c r="T160" s="397"/>
      <c r="U160" s="397"/>
    </row>
    <row r="161" spans="1:21" s="383" customFormat="1" ht="12.75">
      <c r="A161" s="224"/>
      <c r="B161" s="392"/>
      <c r="C161" s="393"/>
      <c r="D161" s="394"/>
      <c r="E161" s="395"/>
      <c r="F161" s="391"/>
      <c r="G161" s="396"/>
      <c r="H161" s="392"/>
      <c r="J161" s="391"/>
      <c r="N161" s="277"/>
      <c r="T161" s="397"/>
      <c r="U161" s="397"/>
    </row>
    <row r="162" spans="1:21" s="383" customFormat="1" ht="12.75">
      <c r="A162" s="224"/>
      <c r="B162" s="392"/>
      <c r="C162" s="393"/>
      <c r="D162" s="394"/>
      <c r="E162" s="395"/>
      <c r="F162" s="391"/>
      <c r="G162" s="396"/>
      <c r="H162" s="392"/>
      <c r="J162" s="391"/>
      <c r="N162" s="277"/>
      <c r="T162" s="397"/>
      <c r="U162" s="397"/>
    </row>
    <row r="163" spans="1:21" s="383" customFormat="1" ht="12.75">
      <c r="A163" s="224"/>
      <c r="B163" s="392"/>
      <c r="C163" s="393"/>
      <c r="D163" s="394"/>
      <c r="E163" s="395"/>
      <c r="F163" s="391"/>
      <c r="G163" s="396"/>
      <c r="H163" s="392"/>
      <c r="J163" s="391"/>
      <c r="N163" s="277"/>
      <c r="T163" s="397"/>
      <c r="U163" s="397"/>
    </row>
    <row r="164" spans="1:21" s="383" customFormat="1" ht="12.75">
      <c r="A164" s="224"/>
      <c r="B164" s="392"/>
      <c r="C164" s="393"/>
      <c r="D164" s="394"/>
      <c r="E164" s="395"/>
      <c r="F164" s="391"/>
      <c r="G164" s="396"/>
      <c r="H164" s="392"/>
      <c r="J164" s="391"/>
      <c r="N164" s="277"/>
      <c r="T164" s="397"/>
      <c r="U164" s="397"/>
    </row>
    <row r="165" spans="1:21" s="383" customFormat="1" ht="12.75">
      <c r="A165" s="224"/>
      <c r="B165" s="392"/>
      <c r="C165" s="393"/>
      <c r="D165" s="394"/>
      <c r="E165" s="395"/>
      <c r="F165" s="391"/>
      <c r="G165" s="396"/>
      <c r="H165" s="392"/>
      <c r="J165" s="391"/>
      <c r="N165" s="277"/>
      <c r="T165" s="397"/>
      <c r="U165" s="397"/>
    </row>
    <row r="166" spans="1:21" s="383" customFormat="1" ht="12.75">
      <c r="A166" s="224"/>
      <c r="B166" s="392"/>
      <c r="C166" s="393"/>
      <c r="D166" s="394"/>
      <c r="E166" s="395"/>
      <c r="F166" s="391"/>
      <c r="G166" s="396"/>
      <c r="H166" s="392"/>
      <c r="J166" s="391"/>
      <c r="N166" s="277"/>
      <c r="T166" s="397"/>
      <c r="U166" s="397"/>
    </row>
    <row r="167" spans="1:21" s="383" customFormat="1" ht="12.75">
      <c r="A167" s="224"/>
      <c r="B167" s="392"/>
      <c r="C167" s="393"/>
      <c r="D167" s="394"/>
      <c r="E167" s="395"/>
      <c r="F167" s="391"/>
      <c r="G167" s="396"/>
      <c r="H167" s="392"/>
      <c r="J167" s="391"/>
      <c r="N167" s="277"/>
      <c r="T167" s="397"/>
      <c r="U167" s="397"/>
    </row>
    <row r="168" spans="1:21" s="383" customFormat="1" ht="12.75">
      <c r="A168" s="224"/>
      <c r="B168" s="392"/>
      <c r="C168" s="393"/>
      <c r="D168" s="394"/>
      <c r="E168" s="395"/>
      <c r="F168" s="391"/>
      <c r="G168" s="396"/>
      <c r="H168" s="392"/>
      <c r="J168" s="391"/>
      <c r="N168" s="277"/>
      <c r="T168" s="397"/>
      <c r="U168" s="397"/>
    </row>
    <row r="169" spans="1:21" s="383" customFormat="1" ht="12.75">
      <c r="A169" s="224"/>
      <c r="B169" s="392"/>
      <c r="C169" s="393"/>
      <c r="D169" s="394"/>
      <c r="E169" s="395"/>
      <c r="F169" s="391"/>
      <c r="G169" s="396"/>
      <c r="H169" s="392"/>
      <c r="J169" s="391"/>
      <c r="N169" s="277"/>
      <c r="T169" s="397"/>
      <c r="U169" s="397"/>
    </row>
    <row r="170" spans="1:21" s="383" customFormat="1" ht="12.75">
      <c r="A170" s="224"/>
      <c r="B170" s="392"/>
      <c r="C170" s="393"/>
      <c r="D170" s="394"/>
      <c r="E170" s="395"/>
      <c r="F170" s="391"/>
      <c r="G170" s="396"/>
      <c r="H170" s="392"/>
      <c r="J170" s="391"/>
      <c r="N170" s="277"/>
      <c r="T170" s="397"/>
      <c r="U170" s="397"/>
    </row>
    <row r="171" spans="1:21" s="383" customFormat="1" ht="12.75">
      <c r="A171" s="224"/>
      <c r="B171" s="392"/>
      <c r="C171" s="393"/>
      <c r="D171" s="394"/>
      <c r="E171" s="395"/>
      <c r="F171" s="391"/>
      <c r="G171" s="396"/>
      <c r="H171" s="392"/>
      <c r="J171" s="391"/>
      <c r="N171" s="277"/>
      <c r="T171" s="397"/>
      <c r="U171" s="397"/>
    </row>
    <row r="172" spans="1:21" s="383" customFormat="1" ht="12.75">
      <c r="A172" s="224"/>
      <c r="B172" s="392"/>
      <c r="C172" s="393"/>
      <c r="D172" s="394"/>
      <c r="E172" s="395"/>
      <c r="F172" s="391"/>
      <c r="G172" s="396"/>
      <c r="H172" s="392"/>
      <c r="J172" s="391"/>
      <c r="N172" s="277"/>
      <c r="T172" s="397"/>
      <c r="U172" s="397"/>
    </row>
    <row r="173" spans="1:21" s="383" customFormat="1" ht="12.75">
      <c r="A173" s="224"/>
      <c r="B173" s="392"/>
      <c r="C173" s="393"/>
      <c r="D173" s="394"/>
      <c r="E173" s="395"/>
      <c r="F173" s="391"/>
      <c r="G173" s="396"/>
      <c r="H173" s="392"/>
      <c r="J173" s="391"/>
      <c r="N173" s="277"/>
      <c r="T173" s="397"/>
      <c r="U173" s="397"/>
    </row>
    <row r="174" spans="1:21" s="383" customFormat="1" ht="12.75">
      <c r="A174" s="224"/>
      <c r="B174" s="392"/>
      <c r="C174" s="393"/>
      <c r="D174" s="394"/>
      <c r="E174" s="395"/>
      <c r="F174" s="391"/>
      <c r="G174" s="396"/>
      <c r="H174" s="392"/>
      <c r="J174" s="391"/>
      <c r="N174" s="277"/>
      <c r="T174" s="397"/>
      <c r="U174" s="397"/>
    </row>
    <row r="175" spans="1:21" s="383" customFormat="1" ht="12.75">
      <c r="A175" s="224"/>
      <c r="B175" s="392"/>
      <c r="C175" s="393"/>
      <c r="D175" s="394"/>
      <c r="E175" s="395"/>
      <c r="F175" s="391"/>
      <c r="G175" s="396"/>
      <c r="H175" s="392"/>
      <c r="J175" s="391"/>
      <c r="N175" s="277"/>
      <c r="T175" s="397"/>
      <c r="U175" s="397"/>
    </row>
    <row r="176" spans="1:21" s="383" customFormat="1" ht="12.75">
      <c r="A176" s="224"/>
      <c r="B176" s="392"/>
      <c r="C176" s="393"/>
      <c r="D176" s="394"/>
      <c r="E176" s="395"/>
      <c r="F176" s="391"/>
      <c r="G176" s="396"/>
      <c r="H176" s="392"/>
      <c r="J176" s="391"/>
      <c r="N176" s="277"/>
      <c r="T176" s="397"/>
      <c r="U176" s="397"/>
    </row>
    <row r="177" spans="1:21" s="383" customFormat="1" ht="12.75">
      <c r="A177" s="224"/>
      <c r="B177" s="392"/>
      <c r="C177" s="393"/>
      <c r="D177" s="394"/>
      <c r="E177" s="395"/>
      <c r="F177" s="391"/>
      <c r="G177" s="396"/>
      <c r="H177" s="392"/>
      <c r="J177" s="391"/>
      <c r="N177" s="277"/>
      <c r="T177" s="397"/>
      <c r="U177" s="397"/>
    </row>
    <row r="178" spans="1:21" s="383" customFormat="1" ht="12.75">
      <c r="A178" s="224"/>
      <c r="B178" s="392"/>
      <c r="C178" s="393"/>
      <c r="D178" s="394"/>
      <c r="E178" s="395"/>
      <c r="F178" s="391"/>
      <c r="G178" s="396"/>
      <c r="H178" s="392"/>
      <c r="J178" s="391"/>
      <c r="N178" s="277"/>
      <c r="T178" s="397"/>
      <c r="U178" s="397"/>
    </row>
    <row r="179" spans="1:21" s="383" customFormat="1" ht="12.75">
      <c r="A179" s="224"/>
      <c r="B179" s="392"/>
      <c r="C179" s="393"/>
      <c r="D179" s="394"/>
      <c r="E179" s="395"/>
      <c r="F179" s="391"/>
      <c r="G179" s="396"/>
      <c r="H179" s="392"/>
      <c r="J179" s="391"/>
      <c r="N179" s="277"/>
      <c r="T179" s="397"/>
      <c r="U179" s="397"/>
    </row>
    <row r="180" spans="1:21" s="383" customFormat="1" ht="12.75">
      <c r="A180" s="224"/>
      <c r="B180" s="392"/>
      <c r="C180" s="393"/>
      <c r="D180" s="394"/>
      <c r="E180" s="395"/>
      <c r="F180" s="391"/>
      <c r="G180" s="396"/>
      <c r="H180" s="392"/>
      <c r="J180" s="391"/>
      <c r="N180" s="277"/>
      <c r="T180" s="397"/>
      <c r="U180" s="397"/>
    </row>
    <row r="181" spans="1:21" s="383" customFormat="1" ht="12.75">
      <c r="A181" s="224"/>
      <c r="B181" s="392"/>
      <c r="C181" s="393"/>
      <c r="D181" s="394"/>
      <c r="E181" s="395"/>
      <c r="F181" s="391"/>
      <c r="G181" s="396"/>
      <c r="H181" s="392"/>
      <c r="J181" s="391"/>
      <c r="N181" s="277"/>
      <c r="T181" s="397"/>
      <c r="U181" s="397"/>
    </row>
    <row r="182" spans="1:21" s="383" customFormat="1" ht="12.75">
      <c r="A182" s="224"/>
      <c r="B182" s="392"/>
      <c r="C182" s="393"/>
      <c r="D182" s="394"/>
      <c r="E182" s="395"/>
      <c r="F182" s="391"/>
      <c r="G182" s="396"/>
      <c r="H182" s="392"/>
      <c r="J182" s="391"/>
      <c r="N182" s="277"/>
      <c r="T182" s="397"/>
      <c r="U182" s="397"/>
    </row>
    <row r="183" spans="1:21" s="383" customFormat="1" ht="12.75">
      <c r="A183" s="224"/>
      <c r="B183" s="392"/>
      <c r="C183" s="393"/>
      <c r="D183" s="394"/>
      <c r="E183" s="395"/>
      <c r="F183" s="391"/>
      <c r="G183" s="396"/>
      <c r="H183" s="392"/>
      <c r="J183" s="391"/>
      <c r="N183" s="277"/>
      <c r="T183" s="397"/>
      <c r="U183" s="397"/>
    </row>
    <row r="184" spans="1:21" s="383" customFormat="1" ht="12.75">
      <c r="A184" s="224"/>
      <c r="B184" s="392"/>
      <c r="C184" s="393"/>
      <c r="D184" s="394"/>
      <c r="E184" s="395"/>
      <c r="F184" s="391"/>
      <c r="G184" s="396"/>
      <c r="H184" s="392"/>
      <c r="J184" s="391"/>
      <c r="N184" s="277"/>
      <c r="T184" s="397"/>
      <c r="U184" s="397"/>
    </row>
    <row r="185" spans="1:21" s="383" customFormat="1" ht="12.75">
      <c r="A185" s="224"/>
      <c r="B185" s="392"/>
      <c r="C185" s="393"/>
      <c r="D185" s="394"/>
      <c r="E185" s="395"/>
      <c r="F185" s="391"/>
      <c r="G185" s="396"/>
      <c r="H185" s="392"/>
      <c r="J185" s="391"/>
      <c r="N185" s="277"/>
      <c r="T185" s="397"/>
      <c r="U185" s="397"/>
    </row>
    <row r="186" spans="1:21" s="383" customFormat="1" ht="12.75">
      <c r="A186" s="224"/>
      <c r="B186" s="392"/>
      <c r="C186" s="393"/>
      <c r="D186" s="394"/>
      <c r="E186" s="395"/>
      <c r="F186" s="391"/>
      <c r="G186" s="396"/>
      <c r="H186" s="392"/>
      <c r="J186" s="391"/>
      <c r="N186" s="277"/>
      <c r="T186" s="397"/>
      <c r="U186" s="397"/>
    </row>
    <row r="187" spans="1:21" s="383" customFormat="1" ht="12.75">
      <c r="A187" s="224"/>
      <c r="B187" s="392"/>
      <c r="C187" s="393"/>
      <c r="D187" s="394"/>
      <c r="E187" s="395"/>
      <c r="F187" s="391"/>
      <c r="G187" s="396"/>
      <c r="H187" s="392"/>
      <c r="J187" s="391"/>
      <c r="N187" s="277"/>
      <c r="T187" s="397"/>
      <c r="U187" s="397"/>
    </row>
    <row r="188" spans="1:21" s="383" customFormat="1" ht="12.75">
      <c r="A188" s="224"/>
      <c r="B188" s="392"/>
      <c r="C188" s="393"/>
      <c r="D188" s="394"/>
      <c r="E188" s="395"/>
      <c r="F188" s="391"/>
      <c r="G188" s="396"/>
      <c r="H188" s="392"/>
      <c r="J188" s="391"/>
      <c r="N188" s="277"/>
      <c r="T188" s="397"/>
      <c r="U188" s="397"/>
    </row>
    <row r="189" spans="1:21" s="383" customFormat="1" ht="12.75">
      <c r="A189" s="224"/>
      <c r="B189" s="392"/>
      <c r="C189" s="393"/>
      <c r="D189" s="394"/>
      <c r="E189" s="395"/>
      <c r="F189" s="391"/>
      <c r="G189" s="396"/>
      <c r="H189" s="392"/>
      <c r="J189" s="391"/>
      <c r="N189" s="277"/>
      <c r="T189" s="397"/>
      <c r="U189" s="397"/>
    </row>
    <row r="190" spans="1:21" s="383" customFormat="1" ht="12.75">
      <c r="A190" s="224"/>
      <c r="B190" s="392"/>
      <c r="C190" s="393"/>
      <c r="D190" s="394"/>
      <c r="E190" s="395"/>
      <c r="F190" s="391"/>
      <c r="G190" s="396"/>
      <c r="H190" s="392"/>
      <c r="J190" s="391"/>
      <c r="N190" s="277"/>
      <c r="T190" s="397"/>
      <c r="U190" s="397"/>
    </row>
    <row r="191" spans="1:21" s="383" customFormat="1" ht="12.75">
      <c r="A191" s="224"/>
      <c r="B191" s="392"/>
      <c r="C191" s="393"/>
      <c r="D191" s="394"/>
      <c r="E191" s="395"/>
      <c r="F191" s="391"/>
      <c r="G191" s="396"/>
      <c r="H191" s="392"/>
      <c r="J191" s="391"/>
      <c r="N191" s="277"/>
      <c r="T191" s="397"/>
      <c r="U191" s="397"/>
    </row>
    <row r="192" spans="1:21" s="383" customFormat="1" ht="12.75">
      <c r="A192" s="224"/>
      <c r="B192" s="392"/>
      <c r="C192" s="393"/>
      <c r="D192" s="394"/>
      <c r="E192" s="395"/>
      <c r="F192" s="391"/>
      <c r="G192" s="396"/>
      <c r="H192" s="392"/>
      <c r="J192" s="391"/>
      <c r="N192" s="277"/>
      <c r="T192" s="397"/>
      <c r="U192" s="397"/>
    </row>
    <row r="193" spans="1:21" s="383" customFormat="1" ht="12.75">
      <c r="A193" s="224"/>
      <c r="B193" s="392"/>
      <c r="C193" s="393"/>
      <c r="D193" s="394"/>
      <c r="E193" s="395"/>
      <c r="F193" s="391"/>
      <c r="G193" s="396"/>
      <c r="H193" s="392"/>
      <c r="J193" s="391"/>
      <c r="N193" s="277"/>
      <c r="T193" s="397"/>
      <c r="U193" s="397"/>
    </row>
    <row r="194" spans="1:21" s="383" customFormat="1" ht="12.75">
      <c r="A194" s="224"/>
      <c r="B194" s="392"/>
      <c r="C194" s="393"/>
      <c r="D194" s="394"/>
      <c r="E194" s="395"/>
      <c r="F194" s="391"/>
      <c r="G194" s="396"/>
      <c r="H194" s="392"/>
      <c r="J194" s="391"/>
      <c r="N194" s="277"/>
      <c r="T194" s="397"/>
      <c r="U194" s="397"/>
    </row>
    <row r="195" spans="1:21" s="383" customFormat="1" ht="12.75">
      <c r="A195" s="224"/>
      <c r="B195" s="392"/>
      <c r="C195" s="393"/>
      <c r="D195" s="394"/>
      <c r="E195" s="395"/>
      <c r="F195" s="391"/>
      <c r="G195" s="396"/>
      <c r="H195" s="392"/>
      <c r="J195" s="391"/>
      <c r="N195" s="277"/>
      <c r="T195" s="397"/>
      <c r="U195" s="397"/>
    </row>
    <row r="196" spans="1:21" s="383" customFormat="1" ht="12.75">
      <c r="A196" s="224"/>
      <c r="B196" s="392"/>
      <c r="C196" s="393"/>
      <c r="D196" s="394"/>
      <c r="E196" s="395"/>
      <c r="F196" s="391"/>
      <c r="G196" s="396"/>
      <c r="H196" s="392"/>
      <c r="J196" s="391"/>
      <c r="N196" s="277"/>
      <c r="T196" s="397"/>
      <c r="U196" s="397"/>
    </row>
    <row r="197" spans="1:21" s="383" customFormat="1" ht="12.75">
      <c r="A197" s="224"/>
      <c r="B197" s="392"/>
      <c r="C197" s="393"/>
      <c r="D197" s="394"/>
      <c r="E197" s="395"/>
      <c r="F197" s="391"/>
      <c r="G197" s="396"/>
      <c r="H197" s="392"/>
      <c r="J197" s="391"/>
      <c r="N197" s="277"/>
      <c r="T197" s="397"/>
      <c r="U197" s="397"/>
    </row>
    <row r="198" spans="1:21" s="383" customFormat="1" ht="12.75">
      <c r="A198" s="224"/>
      <c r="B198" s="392"/>
      <c r="C198" s="393"/>
      <c r="D198" s="394"/>
      <c r="E198" s="395"/>
      <c r="F198" s="391"/>
      <c r="G198" s="396"/>
      <c r="H198" s="392"/>
      <c r="J198" s="391"/>
      <c r="N198" s="277"/>
      <c r="T198" s="397"/>
      <c r="U198" s="397"/>
    </row>
    <row r="199" spans="1:21" s="383" customFormat="1" ht="12.75">
      <c r="A199" s="224"/>
      <c r="B199" s="392"/>
      <c r="C199" s="393"/>
      <c r="D199" s="394"/>
      <c r="E199" s="395"/>
      <c r="F199" s="391"/>
      <c r="G199" s="396"/>
      <c r="H199" s="392"/>
      <c r="J199" s="391"/>
      <c r="N199" s="277"/>
      <c r="T199" s="397"/>
      <c r="U199" s="397"/>
    </row>
    <row r="200" spans="1:21" s="383" customFormat="1" ht="12.75">
      <c r="A200" s="224"/>
      <c r="B200" s="392"/>
      <c r="C200" s="393"/>
      <c r="D200" s="394"/>
      <c r="E200" s="395"/>
      <c r="F200" s="391"/>
      <c r="G200" s="396"/>
      <c r="H200" s="392"/>
      <c r="J200" s="391"/>
      <c r="N200" s="277"/>
      <c r="T200" s="397"/>
      <c r="U200" s="397"/>
    </row>
    <row r="201" spans="1:21" s="383" customFormat="1" ht="12.75">
      <c r="A201" s="224"/>
      <c r="B201" s="392"/>
      <c r="C201" s="393"/>
      <c r="D201" s="394"/>
      <c r="E201" s="395"/>
      <c r="F201" s="391"/>
      <c r="G201" s="396"/>
      <c r="H201" s="392"/>
      <c r="J201" s="391"/>
      <c r="N201" s="277"/>
      <c r="T201" s="397"/>
      <c r="U201" s="397"/>
    </row>
    <row r="202" spans="1:21" s="383" customFormat="1" ht="12.75">
      <c r="A202" s="224"/>
      <c r="B202" s="392"/>
      <c r="C202" s="393"/>
      <c r="D202" s="394"/>
      <c r="E202" s="395"/>
      <c r="F202" s="391"/>
      <c r="G202" s="396"/>
      <c r="H202" s="392"/>
      <c r="J202" s="391"/>
      <c r="N202" s="277"/>
      <c r="T202" s="397"/>
      <c r="U202" s="397"/>
    </row>
    <row r="203" spans="1:21" s="383" customFormat="1" ht="12.75">
      <c r="A203" s="224"/>
      <c r="B203" s="392"/>
      <c r="C203" s="393"/>
      <c r="D203" s="394"/>
      <c r="E203" s="395"/>
      <c r="F203" s="391"/>
      <c r="G203" s="396"/>
      <c r="H203" s="392"/>
      <c r="J203" s="391"/>
      <c r="N203" s="277"/>
      <c r="T203" s="397"/>
      <c r="U203" s="397"/>
    </row>
    <row r="204" spans="1:21" s="383" customFormat="1" ht="12.75">
      <c r="A204" s="224"/>
      <c r="B204" s="392"/>
      <c r="C204" s="393"/>
      <c r="D204" s="394"/>
      <c r="E204" s="395"/>
      <c r="F204" s="391"/>
      <c r="G204" s="396"/>
      <c r="H204" s="392"/>
      <c r="J204" s="391"/>
      <c r="N204" s="277"/>
      <c r="T204" s="397"/>
      <c r="U204" s="397"/>
    </row>
    <row r="205" spans="1:21" s="383" customFormat="1" ht="12.75">
      <c r="A205" s="224"/>
      <c r="B205" s="392"/>
      <c r="C205" s="393"/>
      <c r="D205" s="394"/>
      <c r="E205" s="395"/>
      <c r="F205" s="391"/>
      <c r="G205" s="396"/>
      <c r="H205" s="392"/>
      <c r="J205" s="391"/>
      <c r="N205" s="277"/>
      <c r="T205" s="397"/>
      <c r="U205" s="397"/>
    </row>
    <row r="206" spans="1:21" s="383" customFormat="1" ht="12.75">
      <c r="A206" s="224"/>
      <c r="B206" s="392"/>
      <c r="C206" s="393"/>
      <c r="D206" s="394"/>
      <c r="E206" s="395"/>
      <c r="F206" s="391"/>
      <c r="G206" s="396"/>
      <c r="H206" s="392"/>
      <c r="J206" s="391"/>
      <c r="N206" s="277"/>
      <c r="T206" s="397"/>
      <c r="U206" s="397"/>
    </row>
    <row r="207" spans="1:21" s="383" customFormat="1" ht="12.75">
      <c r="A207" s="224"/>
      <c r="B207" s="392"/>
      <c r="C207" s="393"/>
      <c r="D207" s="394"/>
      <c r="E207" s="395"/>
      <c r="F207" s="391"/>
      <c r="G207" s="396"/>
      <c r="H207" s="392"/>
      <c r="J207" s="391"/>
      <c r="N207" s="277"/>
      <c r="T207" s="397"/>
      <c r="U207" s="397"/>
    </row>
    <row r="208" spans="1:21" s="383" customFormat="1" ht="12.75">
      <c r="A208" s="224"/>
      <c r="B208" s="392"/>
      <c r="C208" s="393"/>
      <c r="D208" s="394"/>
      <c r="E208" s="395"/>
      <c r="F208" s="391"/>
      <c r="G208" s="396"/>
      <c r="H208" s="392"/>
      <c r="J208" s="391"/>
      <c r="N208" s="277"/>
      <c r="T208" s="397"/>
      <c r="U208" s="397"/>
    </row>
    <row r="209" spans="1:21" s="383" customFormat="1" ht="12.75">
      <c r="A209" s="224"/>
      <c r="B209" s="392"/>
      <c r="C209" s="393"/>
      <c r="D209" s="394"/>
      <c r="E209" s="395"/>
      <c r="F209" s="391"/>
      <c r="G209" s="396"/>
      <c r="H209" s="392"/>
      <c r="J209" s="391"/>
      <c r="N209" s="277"/>
      <c r="T209" s="397"/>
      <c r="U209" s="397"/>
    </row>
    <row r="210" spans="1:21" s="383" customFormat="1" ht="12.75">
      <c r="A210" s="224"/>
      <c r="B210" s="392"/>
      <c r="C210" s="393"/>
      <c r="D210" s="394"/>
      <c r="E210" s="395"/>
      <c r="F210" s="391"/>
      <c r="G210" s="396"/>
      <c r="H210" s="392"/>
      <c r="J210" s="391"/>
      <c r="N210" s="277"/>
      <c r="T210" s="397"/>
      <c r="U210" s="397"/>
    </row>
    <row r="211" spans="1:21" s="383" customFormat="1" ht="12.75">
      <c r="A211" s="224"/>
      <c r="B211" s="392"/>
      <c r="C211" s="393"/>
      <c r="D211" s="394"/>
      <c r="E211" s="395"/>
      <c r="F211" s="391"/>
      <c r="G211" s="396"/>
      <c r="H211" s="392"/>
      <c r="J211" s="391"/>
      <c r="N211" s="277"/>
      <c r="T211" s="397"/>
      <c r="U211" s="397"/>
    </row>
    <row r="212" spans="1:21" s="383" customFormat="1" ht="12.75">
      <c r="A212" s="224"/>
      <c r="B212" s="392"/>
      <c r="C212" s="393"/>
      <c r="D212" s="394"/>
      <c r="E212" s="395"/>
      <c r="F212" s="391"/>
      <c r="G212" s="396"/>
      <c r="H212" s="392"/>
      <c r="J212" s="391"/>
      <c r="N212" s="277"/>
      <c r="T212" s="397"/>
      <c r="U212" s="397"/>
    </row>
    <row r="213" spans="1:21" s="383" customFormat="1" ht="12.75">
      <c r="A213" s="224"/>
      <c r="B213" s="392"/>
      <c r="C213" s="393"/>
      <c r="D213" s="394"/>
      <c r="E213" s="395"/>
      <c r="F213" s="391"/>
      <c r="G213" s="396"/>
      <c r="H213" s="392"/>
      <c r="J213" s="391"/>
      <c r="N213" s="277"/>
      <c r="T213" s="397"/>
      <c r="U213" s="397"/>
    </row>
    <row r="214" spans="1:21" s="383" customFormat="1" ht="12.75">
      <c r="A214" s="224"/>
      <c r="B214" s="392"/>
      <c r="C214" s="393"/>
      <c r="D214" s="394"/>
      <c r="E214" s="395"/>
      <c r="F214" s="391"/>
      <c r="G214" s="396"/>
      <c r="H214" s="392"/>
      <c r="J214" s="391"/>
      <c r="N214" s="277"/>
      <c r="T214" s="397"/>
      <c r="U214" s="397"/>
    </row>
    <row r="215" spans="1:21" s="383" customFormat="1" ht="12.75">
      <c r="A215" s="224"/>
      <c r="B215" s="392"/>
      <c r="C215" s="393"/>
      <c r="D215" s="394"/>
      <c r="E215" s="395"/>
      <c r="F215" s="391"/>
      <c r="G215" s="396"/>
      <c r="H215" s="392"/>
      <c r="J215" s="391"/>
      <c r="N215" s="277"/>
      <c r="T215" s="397"/>
      <c r="U215" s="397"/>
    </row>
    <row r="216" spans="1:21" s="383" customFormat="1" ht="12.75">
      <c r="A216" s="224"/>
      <c r="B216" s="392"/>
      <c r="C216" s="393"/>
      <c r="D216" s="394"/>
      <c r="E216" s="395"/>
      <c r="F216" s="391"/>
      <c r="G216" s="396"/>
      <c r="H216" s="392"/>
      <c r="J216" s="391"/>
      <c r="N216" s="277"/>
      <c r="T216" s="397"/>
      <c r="U216" s="397"/>
    </row>
    <row r="217" spans="1:21" s="383" customFormat="1" ht="12.75">
      <c r="A217" s="224"/>
      <c r="B217" s="392"/>
      <c r="C217" s="393"/>
      <c r="D217" s="394"/>
      <c r="E217" s="395"/>
      <c r="F217" s="391"/>
      <c r="G217" s="396"/>
      <c r="H217" s="392"/>
      <c r="J217" s="391"/>
      <c r="N217" s="277"/>
      <c r="T217" s="397"/>
      <c r="U217" s="397"/>
    </row>
    <row r="218" spans="1:21" s="383" customFormat="1" ht="12.75">
      <c r="A218" s="224"/>
      <c r="B218" s="392"/>
      <c r="C218" s="393"/>
      <c r="D218" s="394"/>
      <c r="E218" s="395"/>
      <c r="F218" s="391"/>
      <c r="G218" s="396"/>
      <c r="H218" s="392"/>
      <c r="J218" s="391"/>
      <c r="N218" s="277"/>
      <c r="T218" s="397"/>
      <c r="U218" s="397"/>
    </row>
    <row r="219" spans="1:21" s="383" customFormat="1" ht="12.75">
      <c r="A219" s="224"/>
      <c r="B219" s="392"/>
      <c r="C219" s="393"/>
      <c r="D219" s="394"/>
      <c r="E219" s="395"/>
      <c r="F219" s="391"/>
      <c r="G219" s="396"/>
      <c r="H219" s="392"/>
      <c r="J219" s="391"/>
      <c r="N219" s="277"/>
      <c r="T219" s="397"/>
      <c r="U219" s="397"/>
    </row>
    <row r="220" spans="1:21" s="383" customFormat="1" ht="12.75">
      <c r="A220" s="224"/>
      <c r="B220" s="392"/>
      <c r="C220" s="393"/>
      <c r="D220" s="394"/>
      <c r="E220" s="395"/>
      <c r="F220" s="391"/>
      <c r="G220" s="396"/>
      <c r="H220" s="392"/>
      <c r="J220" s="391"/>
      <c r="N220" s="277"/>
      <c r="T220" s="397"/>
      <c r="U220" s="397"/>
    </row>
    <row r="221" spans="1:21" s="383" customFormat="1" ht="12.75">
      <c r="A221" s="224"/>
      <c r="B221" s="392"/>
      <c r="C221" s="393"/>
      <c r="D221" s="394"/>
      <c r="E221" s="395"/>
      <c r="F221" s="391"/>
      <c r="G221" s="396"/>
      <c r="H221" s="392"/>
      <c r="J221" s="391"/>
      <c r="N221" s="277"/>
      <c r="T221" s="397"/>
      <c r="U221" s="397"/>
    </row>
    <row r="222" spans="1:21" s="383" customFormat="1" ht="12.75">
      <c r="A222" s="224"/>
      <c r="B222" s="392"/>
      <c r="C222" s="393"/>
      <c r="D222" s="394"/>
      <c r="E222" s="395"/>
      <c r="F222" s="391"/>
      <c r="G222" s="396"/>
      <c r="H222" s="392"/>
      <c r="J222" s="391"/>
      <c r="N222" s="277"/>
      <c r="T222" s="397"/>
      <c r="U222" s="397"/>
    </row>
    <row r="223" spans="1:21" s="383" customFormat="1" ht="12.75">
      <c r="A223" s="224"/>
      <c r="B223" s="392"/>
      <c r="C223" s="393"/>
      <c r="D223" s="394"/>
      <c r="E223" s="395"/>
      <c r="F223" s="391"/>
      <c r="G223" s="396"/>
      <c r="H223" s="392"/>
      <c r="J223" s="391"/>
      <c r="N223" s="277"/>
      <c r="T223" s="397"/>
      <c r="U223" s="397"/>
    </row>
    <row r="224" spans="1:21" s="383" customFormat="1" ht="12.75">
      <c r="A224" s="224"/>
      <c r="B224" s="392"/>
      <c r="C224" s="393"/>
      <c r="D224" s="394"/>
      <c r="E224" s="395"/>
      <c r="F224" s="391"/>
      <c r="G224" s="396"/>
      <c r="H224" s="392"/>
      <c r="J224" s="391"/>
      <c r="N224" s="277"/>
      <c r="T224" s="397"/>
      <c r="U224" s="397"/>
    </row>
    <row r="225" spans="1:21" s="383" customFormat="1" ht="12.75">
      <c r="A225" s="224"/>
      <c r="B225" s="392"/>
      <c r="C225" s="393"/>
      <c r="D225" s="394"/>
      <c r="E225" s="395"/>
      <c r="F225" s="391"/>
      <c r="G225" s="396"/>
      <c r="H225" s="392"/>
      <c r="J225" s="391"/>
      <c r="N225" s="277"/>
      <c r="T225" s="397"/>
      <c r="U225" s="397"/>
    </row>
    <row r="226" spans="1:21" s="383" customFormat="1" ht="12.75">
      <c r="A226" s="224"/>
      <c r="B226" s="392"/>
      <c r="C226" s="393"/>
      <c r="D226" s="394"/>
      <c r="E226" s="395"/>
      <c r="F226" s="391"/>
      <c r="G226" s="396"/>
      <c r="H226" s="392"/>
      <c r="J226" s="391"/>
      <c r="N226" s="277"/>
      <c r="T226" s="397"/>
      <c r="U226" s="397"/>
    </row>
    <row r="227" spans="1:21" s="383" customFormat="1" ht="12.75">
      <c r="A227" s="224"/>
      <c r="B227" s="392"/>
      <c r="C227" s="393"/>
      <c r="D227" s="394"/>
      <c r="E227" s="395"/>
      <c r="F227" s="391"/>
      <c r="G227" s="396"/>
      <c r="H227" s="392"/>
      <c r="J227" s="391"/>
      <c r="N227" s="277"/>
      <c r="T227" s="397"/>
      <c r="U227" s="397"/>
    </row>
    <row r="228" spans="1:21" s="383" customFormat="1" ht="12.75">
      <c r="A228" s="224"/>
      <c r="B228" s="392"/>
      <c r="C228" s="393"/>
      <c r="D228" s="394"/>
      <c r="E228" s="395"/>
      <c r="F228" s="391"/>
      <c r="G228" s="396"/>
      <c r="H228" s="392"/>
      <c r="J228" s="391"/>
      <c r="N228" s="277"/>
      <c r="T228" s="397"/>
      <c r="U228" s="397"/>
    </row>
    <row r="229" spans="1:21" s="383" customFormat="1" ht="12.75">
      <c r="A229" s="224"/>
      <c r="B229" s="392"/>
      <c r="C229" s="393"/>
      <c r="D229" s="394"/>
      <c r="E229" s="395"/>
      <c r="F229" s="391"/>
      <c r="G229" s="396"/>
      <c r="H229" s="392"/>
      <c r="J229" s="391"/>
      <c r="N229" s="277"/>
      <c r="T229" s="397"/>
      <c r="U229" s="397"/>
    </row>
    <row r="230" spans="1:21" s="383" customFormat="1" ht="12.75">
      <c r="A230" s="224"/>
      <c r="B230" s="392"/>
      <c r="C230" s="393"/>
      <c r="D230" s="394"/>
      <c r="E230" s="395"/>
      <c r="F230" s="391"/>
      <c r="G230" s="396"/>
      <c r="H230" s="392"/>
      <c r="J230" s="391"/>
      <c r="N230" s="277"/>
      <c r="T230" s="397"/>
      <c r="U230" s="397"/>
    </row>
    <row r="231" spans="1:21" s="383" customFormat="1" ht="12.75">
      <c r="A231" s="224"/>
      <c r="B231" s="392"/>
      <c r="C231" s="393"/>
      <c r="D231" s="394"/>
      <c r="E231" s="395"/>
      <c r="F231" s="391"/>
      <c r="G231" s="396"/>
      <c r="H231" s="392"/>
      <c r="J231" s="391"/>
      <c r="N231" s="277"/>
      <c r="T231" s="397"/>
      <c r="U231" s="397"/>
    </row>
    <row r="232" spans="1:21" s="383" customFormat="1" ht="12.75">
      <c r="A232" s="224"/>
      <c r="B232" s="392"/>
      <c r="C232" s="393"/>
      <c r="D232" s="394"/>
      <c r="E232" s="395"/>
      <c r="F232" s="391"/>
      <c r="G232" s="396"/>
      <c r="H232" s="392"/>
      <c r="J232" s="391"/>
      <c r="N232" s="277"/>
      <c r="T232" s="397"/>
      <c r="U232" s="397"/>
    </row>
    <row r="233" spans="1:21" s="383" customFormat="1" ht="12.75">
      <c r="A233" s="224"/>
      <c r="B233" s="392"/>
      <c r="C233" s="393"/>
      <c r="D233" s="394"/>
      <c r="E233" s="395"/>
      <c r="F233" s="391"/>
      <c r="G233" s="396"/>
      <c r="H233" s="392"/>
      <c r="J233" s="391"/>
      <c r="N233" s="277"/>
      <c r="T233" s="397"/>
      <c r="U233" s="397"/>
    </row>
    <row r="234" spans="1:21" s="383" customFormat="1" ht="12.75">
      <c r="A234" s="224"/>
      <c r="B234" s="392"/>
      <c r="C234" s="393"/>
      <c r="D234" s="394"/>
      <c r="E234" s="395"/>
      <c r="F234" s="391"/>
      <c r="G234" s="396"/>
      <c r="H234" s="392"/>
      <c r="J234" s="391"/>
      <c r="N234" s="277"/>
      <c r="T234" s="397"/>
      <c r="U234" s="397"/>
    </row>
    <row r="235" spans="1:21" s="383" customFormat="1" ht="12.75">
      <c r="A235" s="224"/>
      <c r="B235" s="392"/>
      <c r="C235" s="393"/>
      <c r="D235" s="394"/>
      <c r="E235" s="395"/>
      <c r="F235" s="391"/>
      <c r="G235" s="396"/>
      <c r="H235" s="392"/>
      <c r="J235" s="391"/>
      <c r="N235" s="277"/>
      <c r="T235" s="397"/>
      <c r="U235" s="397"/>
    </row>
    <row r="236" spans="1:21" s="383" customFormat="1" ht="12.75">
      <c r="A236" s="224"/>
      <c r="B236" s="392"/>
      <c r="C236" s="393"/>
      <c r="D236" s="394"/>
      <c r="E236" s="395"/>
      <c r="F236" s="391"/>
      <c r="G236" s="396"/>
      <c r="H236" s="392"/>
      <c r="J236" s="391"/>
      <c r="N236" s="277"/>
      <c r="T236" s="397"/>
      <c r="U236" s="397"/>
    </row>
    <row r="237" spans="1:21" s="383" customFormat="1" ht="12.75">
      <c r="A237" s="224"/>
      <c r="B237" s="392"/>
      <c r="C237" s="393"/>
      <c r="D237" s="394"/>
      <c r="E237" s="395"/>
      <c r="F237" s="391"/>
      <c r="G237" s="396"/>
      <c r="H237" s="392"/>
      <c r="J237" s="391"/>
      <c r="N237" s="277"/>
      <c r="T237" s="397"/>
      <c r="U237" s="397"/>
    </row>
    <row r="238" spans="1:21" s="383" customFormat="1" ht="12.75">
      <c r="A238" s="224"/>
      <c r="B238" s="392"/>
      <c r="C238" s="393"/>
      <c r="D238" s="394"/>
      <c r="E238" s="395"/>
      <c r="F238" s="391"/>
      <c r="G238" s="396"/>
      <c r="H238" s="392"/>
      <c r="J238" s="391"/>
      <c r="N238" s="277"/>
      <c r="T238" s="397"/>
      <c r="U238" s="397"/>
    </row>
    <row r="239" spans="1:21" s="383" customFormat="1" ht="12.75">
      <c r="A239" s="224"/>
      <c r="B239" s="392"/>
      <c r="C239" s="393"/>
      <c r="D239" s="394"/>
      <c r="E239" s="395"/>
      <c r="F239" s="391"/>
      <c r="G239" s="396"/>
      <c r="H239" s="392"/>
      <c r="J239" s="391"/>
      <c r="N239" s="277"/>
      <c r="T239" s="397"/>
      <c r="U239" s="397"/>
    </row>
    <row r="240" spans="1:21" s="383" customFormat="1" ht="12.75">
      <c r="A240" s="224"/>
      <c r="B240" s="392"/>
      <c r="C240" s="393"/>
      <c r="D240" s="394"/>
      <c r="E240" s="395"/>
      <c r="F240" s="391"/>
      <c r="G240" s="396"/>
      <c r="H240" s="392"/>
      <c r="J240" s="391"/>
      <c r="N240" s="277"/>
      <c r="T240" s="397"/>
      <c r="U240" s="397"/>
    </row>
    <row r="241" spans="1:21" s="383" customFormat="1" ht="12.75">
      <c r="A241" s="224"/>
      <c r="B241" s="392"/>
      <c r="C241" s="393"/>
      <c r="D241" s="394"/>
      <c r="E241" s="395"/>
      <c r="F241" s="391"/>
      <c r="G241" s="396"/>
      <c r="H241" s="392"/>
      <c r="J241" s="391"/>
      <c r="N241" s="277"/>
      <c r="T241" s="397"/>
      <c r="U241" s="397"/>
    </row>
    <row r="242" spans="1:21" s="383" customFormat="1" ht="12.75">
      <c r="A242" s="224"/>
      <c r="B242" s="392"/>
      <c r="C242" s="393"/>
      <c r="D242" s="394"/>
      <c r="E242" s="395"/>
      <c r="F242" s="391"/>
      <c r="G242" s="396"/>
      <c r="H242" s="392"/>
      <c r="J242" s="391"/>
      <c r="N242" s="277"/>
      <c r="T242" s="397"/>
      <c r="U242" s="397"/>
    </row>
    <row r="243" spans="1:21" s="383" customFormat="1" ht="12.75">
      <c r="A243" s="224"/>
      <c r="B243" s="392"/>
      <c r="C243" s="393"/>
      <c r="D243" s="394"/>
      <c r="E243" s="395"/>
      <c r="F243" s="391"/>
      <c r="G243" s="396"/>
      <c r="H243" s="392"/>
      <c r="J243" s="391"/>
      <c r="N243" s="277"/>
      <c r="T243" s="397"/>
      <c r="U243" s="397"/>
    </row>
    <row r="244" spans="1:21" s="383" customFormat="1" ht="12.75">
      <c r="A244" s="224"/>
      <c r="B244" s="392"/>
      <c r="C244" s="393"/>
      <c r="D244" s="394"/>
      <c r="E244" s="395"/>
      <c r="F244" s="391"/>
      <c r="G244" s="396"/>
      <c r="H244" s="392"/>
      <c r="J244" s="391"/>
      <c r="N244" s="277"/>
      <c r="T244" s="397"/>
      <c r="U244" s="397"/>
    </row>
    <row r="245" spans="1:21" s="383" customFormat="1" ht="12.75">
      <c r="A245" s="224"/>
      <c r="B245" s="392"/>
      <c r="C245" s="393"/>
      <c r="D245" s="394"/>
      <c r="E245" s="395"/>
      <c r="F245" s="391"/>
      <c r="G245" s="396"/>
      <c r="H245" s="392"/>
      <c r="J245" s="391"/>
      <c r="N245" s="277"/>
      <c r="T245" s="397"/>
      <c r="U245" s="397"/>
    </row>
    <row r="246" spans="1:21" s="383" customFormat="1" ht="12.75">
      <c r="A246" s="224"/>
      <c r="B246" s="392"/>
      <c r="C246" s="393"/>
      <c r="D246" s="394"/>
      <c r="E246" s="395"/>
      <c r="F246" s="391"/>
      <c r="G246" s="396"/>
      <c r="H246" s="392"/>
      <c r="J246" s="391"/>
      <c r="N246" s="277"/>
      <c r="T246" s="397"/>
      <c r="U246" s="397"/>
    </row>
    <row r="247" spans="1:21" s="383" customFormat="1" ht="12.75">
      <c r="A247" s="224"/>
      <c r="B247" s="392"/>
      <c r="C247" s="393"/>
      <c r="D247" s="394"/>
      <c r="E247" s="395"/>
      <c r="F247" s="391"/>
      <c r="G247" s="396"/>
      <c r="H247" s="392"/>
      <c r="J247" s="391"/>
      <c r="N247" s="277"/>
      <c r="T247" s="397"/>
      <c r="U247" s="397"/>
    </row>
    <row r="248" spans="1:21" s="383" customFormat="1" ht="12.75">
      <c r="A248" s="224"/>
      <c r="B248" s="392"/>
      <c r="C248" s="393"/>
      <c r="D248" s="394"/>
      <c r="E248" s="395"/>
      <c r="F248" s="391"/>
      <c r="G248" s="396"/>
      <c r="H248" s="392"/>
      <c r="J248" s="391"/>
      <c r="N248" s="277"/>
      <c r="T248" s="397"/>
      <c r="U248" s="397"/>
    </row>
    <row r="249" spans="1:21" s="383" customFormat="1" ht="12.75">
      <c r="A249" s="224"/>
      <c r="B249" s="392"/>
      <c r="C249" s="393"/>
      <c r="D249" s="394"/>
      <c r="E249" s="395"/>
      <c r="F249" s="391"/>
      <c r="G249" s="396"/>
      <c r="H249" s="392"/>
      <c r="J249" s="391"/>
      <c r="N249" s="277"/>
      <c r="T249" s="397"/>
      <c r="U249" s="397"/>
    </row>
    <row r="250" spans="1:21" s="383" customFormat="1" ht="12.75">
      <c r="A250" s="224"/>
      <c r="B250" s="392"/>
      <c r="C250" s="393"/>
      <c r="D250" s="394"/>
      <c r="E250" s="395"/>
      <c r="F250" s="391"/>
      <c r="G250" s="396"/>
      <c r="H250" s="392"/>
      <c r="J250" s="391"/>
      <c r="N250" s="277"/>
      <c r="T250" s="397"/>
      <c r="U250" s="397"/>
    </row>
    <row r="251" spans="1:21" s="383" customFormat="1" ht="12.75">
      <c r="A251" s="224"/>
      <c r="B251" s="392"/>
      <c r="C251" s="393"/>
      <c r="D251" s="394"/>
      <c r="E251" s="395"/>
      <c r="F251" s="391"/>
      <c r="G251" s="396"/>
      <c r="H251" s="392"/>
      <c r="J251" s="391"/>
      <c r="N251" s="277"/>
      <c r="T251" s="397"/>
      <c r="U251" s="397"/>
    </row>
    <row r="252" spans="1:21" s="383" customFormat="1" ht="12.75">
      <c r="A252" s="224"/>
      <c r="B252" s="392"/>
      <c r="C252" s="393"/>
      <c r="D252" s="394"/>
      <c r="E252" s="395"/>
      <c r="F252" s="391"/>
      <c r="G252" s="396"/>
      <c r="H252" s="392"/>
      <c r="J252" s="391"/>
      <c r="N252" s="277"/>
      <c r="T252" s="397"/>
      <c r="U252" s="397"/>
    </row>
    <row r="253" spans="1:21" s="383" customFormat="1" ht="12.75">
      <c r="A253" s="224"/>
      <c r="B253" s="392"/>
      <c r="C253" s="393"/>
      <c r="D253" s="394"/>
      <c r="E253" s="395"/>
      <c r="F253" s="391"/>
      <c r="G253" s="396"/>
      <c r="H253" s="392"/>
      <c r="J253" s="391"/>
      <c r="N253" s="277"/>
      <c r="T253" s="397"/>
      <c r="U253" s="397"/>
    </row>
    <row r="254" spans="1:21" s="383" customFormat="1" ht="12.75">
      <c r="A254" s="224"/>
      <c r="B254" s="392"/>
      <c r="C254" s="393"/>
      <c r="D254" s="394"/>
      <c r="E254" s="395"/>
      <c r="F254" s="391"/>
      <c r="G254" s="396"/>
      <c r="H254" s="392"/>
      <c r="J254" s="391"/>
      <c r="N254" s="277"/>
      <c r="T254" s="397"/>
      <c r="U254" s="397"/>
    </row>
    <row r="255" spans="1:21" s="383" customFormat="1" ht="12.75">
      <c r="A255" s="224"/>
      <c r="B255" s="392"/>
      <c r="C255" s="393"/>
      <c r="D255" s="394"/>
      <c r="E255" s="395"/>
      <c r="F255" s="391"/>
      <c r="G255" s="396"/>
      <c r="H255" s="392"/>
      <c r="J255" s="391"/>
      <c r="N255" s="277"/>
      <c r="T255" s="397"/>
      <c r="U255" s="397"/>
    </row>
    <row r="256" spans="1:21" s="383" customFormat="1" ht="12.75">
      <c r="A256" s="224"/>
      <c r="B256" s="392"/>
      <c r="C256" s="393"/>
      <c r="D256" s="394"/>
      <c r="E256" s="395"/>
      <c r="F256" s="391"/>
      <c r="G256" s="396"/>
      <c r="H256" s="392"/>
      <c r="J256" s="391"/>
      <c r="N256" s="277"/>
      <c r="T256" s="397"/>
      <c r="U256" s="397"/>
    </row>
    <row r="257" spans="1:21" s="383" customFormat="1" ht="12.75">
      <c r="A257" s="224"/>
      <c r="B257" s="392"/>
      <c r="C257" s="393"/>
      <c r="D257" s="394"/>
      <c r="E257" s="395"/>
      <c r="F257" s="391"/>
      <c r="G257" s="396"/>
      <c r="H257" s="392"/>
      <c r="J257" s="391"/>
      <c r="N257" s="277"/>
      <c r="T257" s="397"/>
      <c r="U257" s="397"/>
    </row>
    <row r="258" spans="1:21" s="383" customFormat="1" ht="12.75">
      <c r="A258" s="224"/>
      <c r="B258" s="392"/>
      <c r="C258" s="393"/>
      <c r="D258" s="394"/>
      <c r="E258" s="395"/>
      <c r="F258" s="391"/>
      <c r="G258" s="396"/>
      <c r="H258" s="392"/>
      <c r="J258" s="391"/>
      <c r="N258" s="277"/>
      <c r="T258" s="397"/>
      <c r="U258" s="397"/>
    </row>
    <row r="259" spans="1:21" s="383" customFormat="1" ht="12.75">
      <c r="A259" s="224"/>
      <c r="B259" s="392"/>
      <c r="C259" s="393"/>
      <c r="D259" s="394"/>
      <c r="E259" s="395"/>
      <c r="F259" s="391"/>
      <c r="G259" s="396"/>
      <c r="H259" s="392"/>
      <c r="J259" s="391"/>
      <c r="N259" s="277"/>
      <c r="T259" s="397"/>
      <c r="U259" s="397"/>
    </row>
    <row r="260" spans="1:21" s="383" customFormat="1" ht="12.75">
      <c r="A260" s="224"/>
      <c r="B260" s="392"/>
      <c r="C260" s="393"/>
      <c r="D260" s="394"/>
      <c r="E260" s="395"/>
      <c r="F260" s="391"/>
      <c r="G260" s="396"/>
      <c r="H260" s="392"/>
      <c r="J260" s="391"/>
      <c r="N260" s="277"/>
      <c r="T260" s="397"/>
      <c r="U260" s="397"/>
    </row>
    <row r="261" spans="1:21" s="383" customFormat="1" ht="12.75">
      <c r="A261" s="224"/>
      <c r="B261" s="392"/>
      <c r="C261" s="393"/>
      <c r="D261" s="394"/>
      <c r="E261" s="395"/>
      <c r="F261" s="391"/>
      <c r="G261" s="396"/>
      <c r="H261" s="392"/>
      <c r="J261" s="391"/>
      <c r="N261" s="277"/>
      <c r="T261" s="397"/>
      <c r="U261" s="397"/>
    </row>
    <row r="262" spans="1:21" s="383" customFormat="1" ht="12.75">
      <c r="A262" s="224"/>
      <c r="B262" s="392"/>
      <c r="C262" s="393"/>
      <c r="D262" s="394"/>
      <c r="E262" s="395"/>
      <c r="F262" s="391"/>
      <c r="G262" s="396"/>
      <c r="H262" s="392"/>
      <c r="J262" s="391"/>
      <c r="N262" s="277"/>
      <c r="T262" s="397"/>
      <c r="U262" s="397"/>
    </row>
    <row r="263" spans="1:21" s="383" customFormat="1" ht="12.75">
      <c r="A263" s="224"/>
      <c r="B263" s="392"/>
      <c r="C263" s="393"/>
      <c r="D263" s="394"/>
      <c r="E263" s="395"/>
      <c r="F263" s="391"/>
      <c r="G263" s="396"/>
      <c r="H263" s="392"/>
      <c r="J263" s="391"/>
      <c r="N263" s="277"/>
      <c r="T263" s="397"/>
      <c r="U263" s="397"/>
    </row>
    <row r="264" spans="1:21" s="383" customFormat="1" ht="12.75">
      <c r="A264" s="224"/>
      <c r="B264" s="392"/>
      <c r="C264" s="393"/>
      <c r="D264" s="394"/>
      <c r="E264" s="395"/>
      <c r="F264" s="391"/>
      <c r="G264" s="396"/>
      <c r="H264" s="392"/>
      <c r="J264" s="391"/>
      <c r="N264" s="277"/>
      <c r="T264" s="397"/>
      <c r="U264" s="397"/>
    </row>
    <row r="265" spans="1:21" s="383" customFormat="1" ht="12.75">
      <c r="A265" s="224"/>
      <c r="B265" s="392"/>
      <c r="C265" s="393"/>
      <c r="D265" s="394"/>
      <c r="E265" s="395"/>
      <c r="F265" s="391"/>
      <c r="G265" s="396"/>
      <c r="H265" s="392"/>
      <c r="J265" s="391"/>
      <c r="N265" s="277"/>
      <c r="T265" s="397"/>
      <c r="U265" s="397"/>
    </row>
    <row r="266" spans="1:21" s="383" customFormat="1" ht="12.75">
      <c r="A266" s="224"/>
      <c r="B266" s="392"/>
      <c r="C266" s="393"/>
      <c r="D266" s="394"/>
      <c r="E266" s="395"/>
      <c r="F266" s="391"/>
      <c r="G266" s="396"/>
      <c r="H266" s="392"/>
      <c r="J266" s="391"/>
      <c r="N266" s="277"/>
      <c r="T266" s="397"/>
      <c r="U266" s="397"/>
    </row>
    <row r="267" spans="1:21" s="383" customFormat="1" ht="12.75">
      <c r="A267" s="224"/>
      <c r="B267" s="392"/>
      <c r="C267" s="393"/>
      <c r="D267" s="394"/>
      <c r="E267" s="395"/>
      <c r="F267" s="391"/>
      <c r="G267" s="396"/>
      <c r="H267" s="392"/>
      <c r="J267" s="391"/>
      <c r="N267" s="277"/>
      <c r="T267" s="397"/>
      <c r="U267" s="397"/>
    </row>
    <row r="268" spans="1:21" s="383" customFormat="1" ht="12.75">
      <c r="A268" s="224"/>
      <c r="B268" s="392"/>
      <c r="C268" s="393"/>
      <c r="D268" s="394"/>
      <c r="E268" s="395"/>
      <c r="F268" s="391"/>
      <c r="G268" s="396"/>
      <c r="H268" s="392"/>
      <c r="J268" s="391"/>
      <c r="N268" s="277"/>
      <c r="T268" s="397"/>
      <c r="U268" s="397"/>
    </row>
    <row r="269" spans="1:21" s="383" customFormat="1" ht="12.75">
      <c r="A269" s="224"/>
      <c r="B269" s="392"/>
      <c r="C269" s="393"/>
      <c r="D269" s="394"/>
      <c r="E269" s="395"/>
      <c r="F269" s="391"/>
      <c r="G269" s="396"/>
      <c r="H269" s="392"/>
      <c r="J269" s="391"/>
      <c r="N269" s="277"/>
      <c r="T269" s="397"/>
      <c r="U269" s="397"/>
    </row>
    <row r="270" spans="1:21" s="383" customFormat="1" ht="12.75">
      <c r="A270" s="224"/>
      <c r="B270" s="392"/>
      <c r="C270" s="393"/>
      <c r="D270" s="394"/>
      <c r="E270" s="395"/>
      <c r="F270" s="391"/>
      <c r="G270" s="396"/>
      <c r="H270" s="392"/>
      <c r="J270" s="391"/>
      <c r="N270" s="277"/>
      <c r="T270" s="397"/>
      <c r="U270" s="397"/>
    </row>
    <row r="271" spans="1:21" s="383" customFormat="1" ht="12.75">
      <c r="A271" s="224"/>
      <c r="B271" s="392"/>
      <c r="C271" s="393"/>
      <c r="D271" s="394"/>
      <c r="E271" s="395"/>
      <c r="F271" s="391"/>
      <c r="G271" s="396"/>
      <c r="H271" s="392"/>
      <c r="J271" s="391"/>
      <c r="N271" s="277"/>
      <c r="T271" s="397"/>
      <c r="U271" s="397"/>
    </row>
    <row r="272" spans="1:21" s="383" customFormat="1" ht="12.75">
      <c r="A272" s="224"/>
      <c r="B272" s="392"/>
      <c r="C272" s="393"/>
      <c r="D272" s="394"/>
      <c r="E272" s="395"/>
      <c r="F272" s="391"/>
      <c r="G272" s="396"/>
      <c r="H272" s="392"/>
      <c r="J272" s="391"/>
      <c r="N272" s="277"/>
      <c r="T272" s="397"/>
      <c r="U272" s="397"/>
    </row>
    <row r="273" spans="1:21" s="383" customFormat="1" ht="12.75">
      <c r="A273" s="224"/>
      <c r="B273" s="392"/>
      <c r="C273" s="393"/>
      <c r="D273" s="394"/>
      <c r="E273" s="395"/>
      <c r="F273" s="391"/>
      <c r="G273" s="396"/>
      <c r="H273" s="392"/>
      <c r="J273" s="391"/>
      <c r="N273" s="277"/>
      <c r="T273" s="397"/>
      <c r="U273" s="397"/>
    </row>
    <row r="274" spans="1:21" s="383" customFormat="1" ht="12.75">
      <c r="A274" s="224"/>
      <c r="B274" s="392"/>
      <c r="C274" s="393"/>
      <c r="D274" s="394"/>
      <c r="E274" s="395"/>
      <c r="F274" s="391"/>
      <c r="G274" s="396"/>
      <c r="H274" s="392"/>
      <c r="J274" s="391"/>
      <c r="N274" s="277"/>
      <c r="S274" s="374"/>
      <c r="T274" s="397"/>
      <c r="U274" s="397"/>
    </row>
    <row r="275" spans="1:21" s="383" customFormat="1" ht="12.75">
      <c r="A275" s="224"/>
      <c r="B275" s="392"/>
      <c r="C275" s="393"/>
      <c r="D275" s="394"/>
      <c r="E275" s="395"/>
      <c r="F275" s="391"/>
      <c r="G275" s="396"/>
      <c r="H275" s="392"/>
      <c r="J275" s="391"/>
      <c r="N275" s="277"/>
      <c r="S275" s="374"/>
      <c r="T275" s="397"/>
      <c r="U275" s="397"/>
    </row>
    <row r="276" spans="1:21" s="383" customFormat="1" ht="12.75">
      <c r="A276" s="224"/>
      <c r="B276" s="392"/>
      <c r="C276" s="393"/>
      <c r="D276" s="394"/>
      <c r="E276" s="395"/>
      <c r="F276" s="391"/>
      <c r="G276" s="396"/>
      <c r="H276" s="392"/>
      <c r="J276" s="391"/>
      <c r="N276" s="277"/>
      <c r="S276" s="374"/>
      <c r="T276" s="397"/>
      <c r="U276" s="397"/>
    </row>
    <row r="277" spans="1:21" s="383" customFormat="1" ht="12.75">
      <c r="A277" s="224"/>
      <c r="B277" s="392"/>
      <c r="C277" s="393"/>
      <c r="D277" s="394"/>
      <c r="E277" s="395"/>
      <c r="F277" s="391"/>
      <c r="G277" s="396"/>
      <c r="H277" s="392"/>
      <c r="J277" s="391"/>
      <c r="N277" s="277"/>
      <c r="S277" s="374"/>
      <c r="T277" s="397"/>
      <c r="U277" s="397"/>
    </row>
    <row r="278" spans="1:21" s="383" customFormat="1" ht="12.75">
      <c r="A278" s="224"/>
      <c r="B278" s="392"/>
      <c r="C278" s="393"/>
      <c r="D278" s="394"/>
      <c r="E278" s="395"/>
      <c r="F278" s="391"/>
      <c r="G278" s="396"/>
      <c r="H278" s="392"/>
      <c r="J278" s="391"/>
      <c r="N278" s="277"/>
      <c r="S278" s="374"/>
      <c r="T278" s="397"/>
      <c r="U278" s="397"/>
    </row>
    <row r="279" spans="1:21" s="383" customFormat="1" ht="12.75">
      <c r="A279" s="224"/>
      <c r="B279" s="392"/>
      <c r="C279" s="393"/>
      <c r="D279" s="394"/>
      <c r="E279" s="395"/>
      <c r="F279" s="391"/>
      <c r="G279" s="396"/>
      <c r="H279" s="392"/>
      <c r="J279" s="391"/>
      <c r="N279" s="277"/>
      <c r="S279" s="374"/>
      <c r="T279" s="397"/>
      <c r="U279" s="397"/>
    </row>
    <row r="280" spans="1:21" s="383" customFormat="1" ht="12.75">
      <c r="A280" s="224"/>
      <c r="B280" s="392"/>
      <c r="C280" s="393"/>
      <c r="D280" s="394"/>
      <c r="E280" s="395"/>
      <c r="F280" s="391"/>
      <c r="G280" s="396"/>
      <c r="H280" s="392"/>
      <c r="J280" s="386"/>
      <c r="K280" s="374"/>
      <c r="N280" s="277"/>
      <c r="S280" s="374"/>
      <c r="T280" s="397"/>
      <c r="U280" s="397"/>
    </row>
    <row r="281" spans="1:21" s="383" customFormat="1" ht="12.75">
      <c r="A281" s="224"/>
      <c r="B281" s="392"/>
      <c r="C281" s="393"/>
      <c r="D281" s="394"/>
      <c r="E281" s="395"/>
      <c r="F281" s="391"/>
      <c r="G281" s="396"/>
      <c r="H281" s="398"/>
      <c r="I281" s="374"/>
      <c r="J281" s="386"/>
      <c r="K281" s="374"/>
      <c r="L281" s="374"/>
      <c r="M281" s="374"/>
      <c r="N281" s="415"/>
      <c r="S281" s="374"/>
      <c r="T281" s="397"/>
      <c r="U281" s="397"/>
    </row>
  </sheetData>
  <sheetProtection/>
  <autoFilter ref="A1:X133">
    <sortState ref="A2:X281">
      <sortCondition sortBy="value" ref="B2:B2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4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6" sqref="A236:IV240"/>
    </sheetView>
  </sheetViews>
  <sheetFormatPr defaultColWidth="9.140625" defaultRowHeight="15" outlineLevelRow="1" outlineLevelCol="1"/>
  <cols>
    <col min="1" max="1" width="40.8515625" style="68" customWidth="1"/>
    <col min="2" max="2" width="12.7109375" style="320" customWidth="1" outlineLevel="1"/>
    <col min="3" max="3" width="12.57421875" style="217" customWidth="1" outlineLevel="1"/>
    <col min="4" max="4" width="12.28125" style="320" customWidth="1" outlineLevel="1"/>
    <col min="5" max="5" width="10.7109375" style="217" customWidth="1" outlineLevel="1"/>
    <col min="6" max="6" width="11.7109375" style="320" customWidth="1" outlineLevel="1"/>
    <col min="7" max="7" width="13.57421875" style="39" customWidth="1" outlineLevel="1"/>
    <col min="8" max="8" width="15.8515625" style="57" customWidth="1" outlineLevel="1"/>
    <col min="9" max="9" width="12.00390625" style="320" customWidth="1" outlineLevel="1"/>
    <col min="10" max="10" width="13.421875" style="39" customWidth="1" outlineLevel="1"/>
    <col min="11" max="11" width="11.57421875" style="320" customWidth="1" outlineLevel="1"/>
    <col min="12" max="12" width="12.57421875" style="39" customWidth="1" outlineLevel="1"/>
    <col min="13" max="13" width="11.8515625" style="320" customWidth="1" outlineLevel="1"/>
    <col min="14" max="14" width="13.140625" style="16" customWidth="1" outlineLevel="1"/>
    <col min="15" max="15" width="13.00390625" style="57" customWidth="1" outlineLevel="1"/>
    <col min="16" max="16" width="14.57421875" style="320" customWidth="1" outlineLevel="1"/>
    <col min="17" max="17" width="12.28125" style="39" customWidth="1" outlineLevel="1"/>
    <col min="18" max="18" width="17.8515625" style="320" customWidth="1" outlineLevel="1"/>
    <col min="19" max="19" width="12.28125" style="39" customWidth="1" outlineLevel="1"/>
    <col min="20" max="20" width="12.57421875" style="320" customWidth="1" outlineLevel="1"/>
    <col min="21" max="21" width="12.28125" style="39" customWidth="1" outlineLevel="1"/>
    <col min="22" max="22" width="16.00390625" style="57" customWidth="1" outlineLevel="1"/>
    <col min="23" max="23" width="14.57421875" style="320" customWidth="1" outlineLevel="1"/>
    <col min="24" max="24" width="12.28125" style="39" customWidth="1" outlineLevel="1"/>
    <col min="25" max="25" width="17.8515625" style="320" customWidth="1" outlineLevel="1"/>
    <col min="26" max="26" width="12.28125" style="39" customWidth="1" outlineLevel="1"/>
    <col min="27" max="27" width="12.57421875" style="320" customWidth="1" outlineLevel="1"/>
    <col min="28" max="28" width="12.28125" style="39" customWidth="1" outlineLevel="1"/>
    <col min="29" max="29" width="14.421875" style="57" customWidth="1" outlineLevel="1"/>
    <col min="30" max="30" width="14.140625" style="42" customWidth="1" outlineLevel="1"/>
    <col min="31" max="31" width="14.421875" style="57" customWidth="1" outlineLevel="1"/>
    <col min="32" max="32" width="12.28125" style="42" customWidth="1" outlineLevel="1"/>
    <col min="33" max="33" width="13.421875" style="42" customWidth="1" outlineLevel="1"/>
    <col min="34" max="36" width="9.140625" style="42" customWidth="1" outlineLevel="1"/>
    <col min="37" max="40" width="9.140625" style="42" customWidth="1"/>
    <col min="41" max="41" width="9.140625" style="41" customWidth="1"/>
    <col min="42" max="42" width="9.140625" style="42" customWidth="1"/>
    <col min="43" max="43" width="9.140625" style="58" customWidth="1"/>
    <col min="44" max="45" width="9.140625" style="59" customWidth="1"/>
    <col min="46" max="47" width="9.140625" style="60" customWidth="1"/>
    <col min="48" max="48" width="9.00390625" style="58" customWidth="1"/>
    <col min="49" max="49" width="10.8515625" style="58" customWidth="1"/>
    <col min="50" max="16384" width="9.140625" style="58" customWidth="1"/>
  </cols>
  <sheetData>
    <row r="1" spans="1:47" s="49" customFormat="1" ht="13.5" customHeight="1" thickBot="1">
      <c r="A1" s="678" t="s">
        <v>273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1"/>
      <c r="AE1" s="45"/>
      <c r="AF1" s="44"/>
      <c r="AG1" s="44"/>
      <c r="AH1" s="44"/>
      <c r="AI1" s="44"/>
      <c r="AJ1" s="44"/>
      <c r="AK1" s="44"/>
      <c r="AL1" s="44"/>
      <c r="AM1" s="45"/>
      <c r="AN1" s="44"/>
      <c r="AO1" s="46"/>
      <c r="AP1" s="47"/>
      <c r="AQ1" s="47"/>
      <c r="AR1" s="48"/>
      <c r="AS1" s="48"/>
      <c r="AT1" s="46"/>
      <c r="AU1" s="46"/>
    </row>
    <row r="2" spans="1:47" s="180" customFormat="1" ht="13.5" customHeight="1">
      <c r="A2" s="175"/>
      <c r="B2" s="682">
        <v>40909</v>
      </c>
      <c r="C2" s="677"/>
      <c r="D2" s="677">
        <v>40940</v>
      </c>
      <c r="E2" s="677"/>
      <c r="F2" s="677">
        <v>40969</v>
      </c>
      <c r="G2" s="677"/>
      <c r="H2" s="675" t="s">
        <v>159</v>
      </c>
      <c r="I2" s="677">
        <v>41000</v>
      </c>
      <c r="J2" s="677"/>
      <c r="K2" s="677">
        <v>41030</v>
      </c>
      <c r="L2" s="677"/>
      <c r="M2" s="677">
        <v>41061</v>
      </c>
      <c r="N2" s="677"/>
      <c r="O2" s="675" t="s">
        <v>160</v>
      </c>
      <c r="P2" s="677">
        <v>41091</v>
      </c>
      <c r="Q2" s="677"/>
      <c r="R2" s="677">
        <v>41122</v>
      </c>
      <c r="S2" s="677"/>
      <c r="T2" s="677">
        <v>41153</v>
      </c>
      <c r="U2" s="677"/>
      <c r="V2" s="675" t="s">
        <v>274</v>
      </c>
      <c r="W2" s="677">
        <v>41183</v>
      </c>
      <c r="X2" s="677"/>
      <c r="Y2" s="677">
        <v>41215</v>
      </c>
      <c r="Z2" s="677"/>
      <c r="AA2" s="677">
        <v>41247</v>
      </c>
      <c r="AB2" s="677"/>
      <c r="AC2" s="675" t="s">
        <v>274</v>
      </c>
      <c r="AD2" s="176"/>
      <c r="AE2" s="675"/>
      <c r="AF2" s="177"/>
      <c r="AG2" s="177"/>
      <c r="AH2" s="177"/>
      <c r="AI2" s="177"/>
      <c r="AJ2" s="177"/>
      <c r="AK2" s="177"/>
      <c r="AL2" s="177"/>
      <c r="AM2" s="177"/>
      <c r="AN2" s="177"/>
      <c r="AO2" s="178"/>
      <c r="AP2" s="178"/>
      <c r="AQ2" s="178"/>
      <c r="AR2" s="179"/>
      <c r="AS2" s="179"/>
      <c r="AT2" s="178"/>
      <c r="AU2" s="178"/>
    </row>
    <row r="3" spans="1:31" s="51" customFormat="1" ht="12" customHeight="1">
      <c r="A3" s="61" t="s">
        <v>2</v>
      </c>
      <c r="B3" s="321" t="s">
        <v>25</v>
      </c>
      <c r="C3" s="13" t="s">
        <v>13</v>
      </c>
      <c r="D3" s="288" t="s">
        <v>25</v>
      </c>
      <c r="E3" s="13" t="s">
        <v>13</v>
      </c>
      <c r="F3" s="288" t="s">
        <v>25</v>
      </c>
      <c r="G3" s="13" t="s">
        <v>13</v>
      </c>
      <c r="H3" s="676"/>
      <c r="I3" s="288" t="s">
        <v>25</v>
      </c>
      <c r="J3" s="13" t="s">
        <v>13</v>
      </c>
      <c r="K3" s="288" t="s">
        <v>25</v>
      </c>
      <c r="L3" s="13" t="s">
        <v>13</v>
      </c>
      <c r="M3" s="288" t="s">
        <v>25</v>
      </c>
      <c r="N3" s="13" t="s">
        <v>13</v>
      </c>
      <c r="O3" s="676"/>
      <c r="P3" s="288" t="s">
        <v>25</v>
      </c>
      <c r="Q3" s="13" t="s">
        <v>13</v>
      </c>
      <c r="R3" s="288" t="s">
        <v>25</v>
      </c>
      <c r="S3" s="13" t="s">
        <v>13</v>
      </c>
      <c r="T3" s="288" t="s">
        <v>25</v>
      </c>
      <c r="U3" s="13" t="s">
        <v>13</v>
      </c>
      <c r="V3" s="676"/>
      <c r="W3" s="288" t="s">
        <v>25</v>
      </c>
      <c r="X3" s="13" t="s">
        <v>13</v>
      </c>
      <c r="Y3" s="288" t="s">
        <v>25</v>
      </c>
      <c r="Z3" s="13" t="s">
        <v>13</v>
      </c>
      <c r="AA3" s="288" t="s">
        <v>25</v>
      </c>
      <c r="AB3" s="13" t="s">
        <v>13</v>
      </c>
      <c r="AC3" s="676"/>
      <c r="AD3" s="50" t="s">
        <v>0</v>
      </c>
      <c r="AE3" s="676"/>
    </row>
    <row r="4" spans="1:31" s="53" customFormat="1" ht="15">
      <c r="A4" s="62" t="s">
        <v>714</v>
      </c>
      <c r="B4" s="322"/>
      <c r="C4" s="125">
        <f>'01'!J134</f>
        <v>1494075</v>
      </c>
      <c r="D4" s="289"/>
      <c r="E4" s="125"/>
      <c r="F4" s="289"/>
      <c r="G4" s="37"/>
      <c r="H4" s="267"/>
      <c r="I4" s="289"/>
      <c r="J4" s="37"/>
      <c r="K4" s="289"/>
      <c r="L4" s="37"/>
      <c r="M4" s="289"/>
      <c r="N4" s="37"/>
      <c r="O4" s="267"/>
      <c r="P4" s="289"/>
      <c r="Q4" s="37"/>
      <c r="R4" s="289"/>
      <c r="S4" s="37"/>
      <c r="T4" s="289"/>
      <c r="U4" s="37"/>
      <c r="V4" s="267"/>
      <c r="W4" s="289"/>
      <c r="X4" s="37"/>
      <c r="Y4" s="289"/>
      <c r="Z4" s="37"/>
      <c r="AA4" s="289"/>
      <c r="AB4" s="37"/>
      <c r="AC4" s="267">
        <f>X4+Z4+AB4</f>
        <v>0</v>
      </c>
      <c r="AD4" s="52">
        <f>SUM(B4:R4)</f>
        <v>1494075</v>
      </c>
      <c r="AE4" s="267"/>
    </row>
    <row r="5" spans="1:31" s="227" customFormat="1" ht="12.75" customHeight="1">
      <c r="A5" s="225" t="s">
        <v>1</v>
      </c>
      <c r="B5" s="323">
        <v>0.11</v>
      </c>
      <c r="C5" s="207"/>
      <c r="D5" s="290">
        <v>0.11</v>
      </c>
      <c r="E5" s="207">
        <f>(E4-C4)/C4</f>
        <v>-1</v>
      </c>
      <c r="F5" s="290">
        <v>0.11</v>
      </c>
      <c r="G5" s="207" t="e">
        <f>(G4-E4)/E4</f>
        <v>#DIV/0!</v>
      </c>
      <c r="H5" s="207"/>
      <c r="I5" s="290" t="e">
        <f>(I4-F4)/F4</f>
        <v>#DIV/0!</v>
      </c>
      <c r="J5" s="207" t="e">
        <f>(J4-G4)/G4</f>
        <v>#DIV/0!</v>
      </c>
      <c r="K5" s="290" t="e">
        <f>(K4-I4)/I4</f>
        <v>#DIV/0!</v>
      </c>
      <c r="L5" s="207" t="e">
        <f>(L4-J4)/J4</f>
        <v>#DIV/0!</v>
      </c>
      <c r="M5" s="290" t="e">
        <f>(M4-K4)/K4</f>
        <v>#DIV/0!</v>
      </c>
      <c r="N5" s="207" t="e">
        <f>(N4-L4)/L4</f>
        <v>#DIV/0!</v>
      </c>
      <c r="O5" s="207" t="e">
        <f>(O4-H4)/H4</f>
        <v>#DIV/0!</v>
      </c>
      <c r="P5" s="290" t="e">
        <f>(P4-M4)/M4</f>
        <v>#DIV/0!</v>
      </c>
      <c r="Q5" s="207" t="e">
        <f>(Q4-N4)/N4</f>
        <v>#DIV/0!</v>
      </c>
      <c r="R5" s="290" t="e">
        <f>(R4-P4)/P4</f>
        <v>#DIV/0!</v>
      </c>
      <c r="S5" s="207" t="e">
        <f>(S4-Q4)/Q4</f>
        <v>#DIV/0!</v>
      </c>
      <c r="T5" s="290" t="e">
        <f>(T4-R4)/R4</f>
        <v>#DIV/0!</v>
      </c>
      <c r="U5" s="207" t="e">
        <f>(U4-S4)/S4</f>
        <v>#DIV/0!</v>
      </c>
      <c r="V5" s="207" t="e">
        <f>(V4-O4)/O4</f>
        <v>#DIV/0!</v>
      </c>
      <c r="W5" s="290" t="e">
        <f>(W4-T4)/T4</f>
        <v>#DIV/0!</v>
      </c>
      <c r="X5" s="207" t="e">
        <f>(X4-U4)/U4</f>
        <v>#DIV/0!</v>
      </c>
      <c r="Y5" s="290" t="e">
        <f>(Y4-W4)/W4</f>
        <v>#DIV/0!</v>
      </c>
      <c r="Z5" s="207" t="e">
        <f>(Z4-X4)/X4</f>
        <v>#DIV/0!</v>
      </c>
      <c r="AA5" s="290" t="e">
        <f>(AA4-Y4)/Y4</f>
        <v>#DIV/0!</v>
      </c>
      <c r="AB5" s="207" t="e">
        <f>(AB4-Z4)/Z4</f>
        <v>#DIV/0!</v>
      </c>
      <c r="AC5" s="207" t="e">
        <f>(AC4-V4)/V4</f>
        <v>#DIV/0!</v>
      </c>
      <c r="AD5" s="226"/>
      <c r="AE5" s="207"/>
    </row>
    <row r="6" spans="1:31" s="54" customFormat="1" ht="14.25" customHeight="1">
      <c r="A6" s="63" t="s">
        <v>27</v>
      </c>
      <c r="B6" s="324">
        <f>B82</f>
        <v>0</v>
      </c>
      <c r="C6" s="15"/>
      <c r="D6" s="291">
        <f>D82</f>
        <v>0</v>
      </c>
      <c r="E6" s="15"/>
      <c r="F6" s="291">
        <f>F82</f>
        <v>0</v>
      </c>
      <c r="G6" s="15"/>
      <c r="H6" s="235">
        <f aca="true" t="shared" si="0" ref="H6:H11">C6+E6+G6</f>
        <v>0</v>
      </c>
      <c r="I6" s="291">
        <f>I82</f>
        <v>0</v>
      </c>
      <c r="J6" s="15"/>
      <c r="K6" s="291">
        <f>K82</f>
        <v>0</v>
      </c>
      <c r="L6" s="15"/>
      <c r="M6" s="291">
        <f>M82</f>
        <v>0</v>
      </c>
      <c r="N6" s="15"/>
      <c r="O6" s="235">
        <f aca="true" t="shared" si="1" ref="O6:O11">J6+L6+N6</f>
        <v>0</v>
      </c>
      <c r="P6" s="291">
        <f>P82</f>
        <v>0</v>
      </c>
      <c r="Q6" s="15"/>
      <c r="R6" s="291">
        <f>R82</f>
        <v>0</v>
      </c>
      <c r="S6" s="15"/>
      <c r="T6" s="291">
        <f>T82</f>
        <v>0</v>
      </c>
      <c r="U6" s="15"/>
      <c r="V6" s="235">
        <f aca="true" t="shared" si="2" ref="V6:V11">Q6+S6+U6</f>
        <v>0</v>
      </c>
      <c r="W6" s="291">
        <f>W82</f>
        <v>0</v>
      </c>
      <c r="X6" s="15"/>
      <c r="Y6" s="291">
        <f>Y82</f>
        <v>0</v>
      </c>
      <c r="Z6" s="15"/>
      <c r="AA6" s="291">
        <f>AA82</f>
        <v>0</v>
      </c>
      <c r="AB6" s="15"/>
      <c r="AC6" s="235">
        <f aca="true" t="shared" si="3" ref="AC6:AC11">X6+Z6+AB6</f>
        <v>0</v>
      </c>
      <c r="AD6" s="11">
        <f>AD82</f>
        <v>0</v>
      </c>
      <c r="AE6" s="235"/>
    </row>
    <row r="7" spans="1:31" s="54" customFormat="1" ht="14.25" customHeight="1">
      <c r="A7" s="63" t="s">
        <v>118</v>
      </c>
      <c r="B7" s="324">
        <f>B91</f>
        <v>0</v>
      </c>
      <c r="C7" s="15"/>
      <c r="D7" s="291">
        <f>D91</f>
        <v>0</v>
      </c>
      <c r="E7" s="15"/>
      <c r="F7" s="291">
        <f>F91</f>
        <v>0</v>
      </c>
      <c r="G7" s="15"/>
      <c r="H7" s="235">
        <f t="shared" si="0"/>
        <v>0</v>
      </c>
      <c r="I7" s="291">
        <f>I91</f>
        <v>0</v>
      </c>
      <c r="J7" s="15"/>
      <c r="K7" s="291">
        <f>K91</f>
        <v>0</v>
      </c>
      <c r="L7" s="15"/>
      <c r="M7" s="291">
        <f>M91</f>
        <v>0</v>
      </c>
      <c r="N7" s="15"/>
      <c r="O7" s="235">
        <f t="shared" si="1"/>
        <v>0</v>
      </c>
      <c r="P7" s="291">
        <f>P91</f>
        <v>0</v>
      </c>
      <c r="Q7" s="15"/>
      <c r="R7" s="291">
        <f>R91</f>
        <v>0</v>
      </c>
      <c r="S7" s="15"/>
      <c r="T7" s="291">
        <f>T91</f>
        <v>0</v>
      </c>
      <c r="U7" s="15"/>
      <c r="V7" s="235">
        <f t="shared" si="2"/>
        <v>0</v>
      </c>
      <c r="W7" s="291">
        <f>W91</f>
        <v>0</v>
      </c>
      <c r="X7" s="15"/>
      <c r="Y7" s="291">
        <f>Y91</f>
        <v>0</v>
      </c>
      <c r="Z7" s="15"/>
      <c r="AA7" s="291">
        <f>AA91</f>
        <v>0</v>
      </c>
      <c r="AB7" s="15"/>
      <c r="AC7" s="235">
        <f t="shared" si="3"/>
        <v>0</v>
      </c>
      <c r="AD7" s="11">
        <f>AD91</f>
        <v>0</v>
      </c>
      <c r="AE7" s="235"/>
    </row>
    <row r="8" spans="1:31" s="54" customFormat="1" ht="14.25" customHeight="1">
      <c r="A8" s="63" t="s">
        <v>5</v>
      </c>
      <c r="B8" s="324">
        <f>B100</f>
        <v>0</v>
      </c>
      <c r="C8" s="15"/>
      <c r="D8" s="291">
        <f>D100</f>
        <v>0</v>
      </c>
      <c r="E8" s="15"/>
      <c r="F8" s="291">
        <f>F100</f>
        <v>0</v>
      </c>
      <c r="G8" s="15"/>
      <c r="H8" s="235">
        <f t="shared" si="0"/>
        <v>0</v>
      </c>
      <c r="I8" s="291">
        <f>I100</f>
        <v>0</v>
      </c>
      <c r="J8" s="15"/>
      <c r="K8" s="291">
        <f>K100</f>
        <v>0</v>
      </c>
      <c r="L8" s="15"/>
      <c r="M8" s="291">
        <f>M100</f>
        <v>0</v>
      </c>
      <c r="N8" s="15"/>
      <c r="O8" s="235">
        <f t="shared" si="1"/>
        <v>0</v>
      </c>
      <c r="P8" s="291">
        <f>P100</f>
        <v>0</v>
      </c>
      <c r="Q8" s="15"/>
      <c r="R8" s="291">
        <f>R100</f>
        <v>0</v>
      </c>
      <c r="S8" s="15"/>
      <c r="T8" s="291">
        <f>T100</f>
        <v>0</v>
      </c>
      <c r="U8" s="15"/>
      <c r="V8" s="235">
        <f t="shared" si="2"/>
        <v>0</v>
      </c>
      <c r="W8" s="291">
        <f>W100</f>
        <v>0</v>
      </c>
      <c r="X8" s="15"/>
      <c r="Y8" s="291">
        <f>Y100</f>
        <v>0</v>
      </c>
      <c r="Z8" s="15"/>
      <c r="AA8" s="291">
        <f>AA100</f>
        <v>0</v>
      </c>
      <c r="AB8" s="15"/>
      <c r="AC8" s="235">
        <f t="shared" si="3"/>
        <v>0</v>
      </c>
      <c r="AD8" s="11">
        <f>AD100</f>
        <v>0</v>
      </c>
      <c r="AE8" s="235"/>
    </row>
    <row r="9" spans="1:31" s="54" customFormat="1" ht="14.25" customHeight="1">
      <c r="A9" s="63" t="s">
        <v>4</v>
      </c>
      <c r="B9" s="324">
        <f>B109</f>
        <v>0</v>
      </c>
      <c r="C9" s="15"/>
      <c r="D9" s="291">
        <f>D109</f>
        <v>0</v>
      </c>
      <c r="E9" s="15"/>
      <c r="F9" s="291">
        <f>F109</f>
        <v>0</v>
      </c>
      <c r="G9" s="15"/>
      <c r="H9" s="235">
        <f t="shared" si="0"/>
        <v>0</v>
      </c>
      <c r="I9" s="291">
        <f>I109</f>
        <v>0</v>
      </c>
      <c r="J9" s="15"/>
      <c r="K9" s="291">
        <f>K109</f>
        <v>0</v>
      </c>
      <c r="L9" s="15"/>
      <c r="M9" s="291">
        <f>M109</f>
        <v>0</v>
      </c>
      <c r="N9" s="15"/>
      <c r="O9" s="235">
        <f t="shared" si="1"/>
        <v>0</v>
      </c>
      <c r="P9" s="291">
        <f>P109</f>
        <v>0</v>
      </c>
      <c r="Q9" s="15"/>
      <c r="R9" s="291">
        <f>R109</f>
        <v>0</v>
      </c>
      <c r="S9" s="15"/>
      <c r="T9" s="291">
        <f>T109</f>
        <v>0</v>
      </c>
      <c r="U9" s="15"/>
      <c r="V9" s="235">
        <f t="shared" si="2"/>
        <v>0</v>
      </c>
      <c r="W9" s="291">
        <f>W109</f>
        <v>0</v>
      </c>
      <c r="X9" s="15"/>
      <c r="Y9" s="291">
        <f>Y109</f>
        <v>0</v>
      </c>
      <c r="Z9" s="15"/>
      <c r="AA9" s="291">
        <f>AA109</f>
        <v>0</v>
      </c>
      <c r="AB9" s="15"/>
      <c r="AC9" s="235">
        <f t="shared" si="3"/>
        <v>0</v>
      </c>
      <c r="AD9" s="11">
        <f>AD109</f>
        <v>0</v>
      </c>
      <c r="AE9" s="235"/>
    </row>
    <row r="10" spans="1:31" s="54" customFormat="1" ht="14.25" customHeight="1">
      <c r="A10" s="63" t="s">
        <v>6</v>
      </c>
      <c r="B10" s="324">
        <f>B118</f>
        <v>0</v>
      </c>
      <c r="C10" s="15"/>
      <c r="D10" s="291">
        <f>D118</f>
        <v>0</v>
      </c>
      <c r="E10" s="15"/>
      <c r="F10" s="291">
        <f>F118</f>
        <v>0</v>
      </c>
      <c r="G10" s="15"/>
      <c r="H10" s="235">
        <f t="shared" si="0"/>
        <v>0</v>
      </c>
      <c r="I10" s="291">
        <f>I118</f>
        <v>0</v>
      </c>
      <c r="J10" s="15"/>
      <c r="K10" s="291">
        <f>K118</f>
        <v>0</v>
      </c>
      <c r="L10" s="15"/>
      <c r="M10" s="291">
        <f>M118</f>
        <v>0</v>
      </c>
      <c r="N10" s="15"/>
      <c r="O10" s="235">
        <f t="shared" si="1"/>
        <v>0</v>
      </c>
      <c r="P10" s="291">
        <f>P118</f>
        <v>0</v>
      </c>
      <c r="Q10" s="15"/>
      <c r="R10" s="291">
        <f>R118</f>
        <v>0</v>
      </c>
      <c r="S10" s="15"/>
      <c r="T10" s="291">
        <f>T118</f>
        <v>0</v>
      </c>
      <c r="U10" s="15"/>
      <c r="V10" s="235">
        <f t="shared" si="2"/>
        <v>0</v>
      </c>
      <c r="W10" s="291">
        <f>W118</f>
        <v>0</v>
      </c>
      <c r="X10" s="15"/>
      <c r="Y10" s="291">
        <f>Y118</f>
        <v>0</v>
      </c>
      <c r="Z10" s="15"/>
      <c r="AA10" s="291">
        <f>AA118</f>
        <v>0</v>
      </c>
      <c r="AB10" s="15"/>
      <c r="AC10" s="235">
        <f t="shared" si="3"/>
        <v>0</v>
      </c>
      <c r="AD10" s="11">
        <f>AD118</f>
        <v>0</v>
      </c>
      <c r="AE10" s="235"/>
    </row>
    <row r="11" spans="1:31" s="54" customFormat="1" ht="14.25" customHeight="1">
      <c r="A11" s="63" t="s">
        <v>26</v>
      </c>
      <c r="B11" s="324">
        <f>B127</f>
        <v>0</v>
      </c>
      <c r="C11" s="15"/>
      <c r="D11" s="291">
        <f>D127</f>
        <v>0</v>
      </c>
      <c r="E11" s="15"/>
      <c r="F11" s="291">
        <f>F127</f>
        <v>0</v>
      </c>
      <c r="G11" s="15"/>
      <c r="H11" s="235">
        <f t="shared" si="0"/>
        <v>0</v>
      </c>
      <c r="I11" s="291">
        <f>I127</f>
        <v>0</v>
      </c>
      <c r="J11" s="15"/>
      <c r="K11" s="291">
        <f>K127</f>
        <v>0</v>
      </c>
      <c r="L11" s="15"/>
      <c r="M11" s="291">
        <f>M127</f>
        <v>0</v>
      </c>
      <c r="N11" s="15"/>
      <c r="O11" s="235">
        <f t="shared" si="1"/>
        <v>0</v>
      </c>
      <c r="P11" s="291">
        <f>P127</f>
        <v>0</v>
      </c>
      <c r="Q11" s="15"/>
      <c r="R11" s="291">
        <f>R127</f>
        <v>0</v>
      </c>
      <c r="S11" s="15"/>
      <c r="T11" s="291">
        <f>T127</f>
        <v>0</v>
      </c>
      <c r="U11" s="15"/>
      <c r="V11" s="235">
        <f t="shared" si="2"/>
        <v>0</v>
      </c>
      <c r="W11" s="291">
        <f>W127</f>
        <v>0</v>
      </c>
      <c r="X11" s="15"/>
      <c r="Y11" s="291">
        <f>Y127</f>
        <v>0</v>
      </c>
      <c r="Z11" s="15"/>
      <c r="AA11" s="291">
        <f>AA127</f>
        <v>0</v>
      </c>
      <c r="AB11" s="15"/>
      <c r="AC11" s="235">
        <f t="shared" si="3"/>
        <v>0</v>
      </c>
      <c r="AD11" s="11">
        <f>AD127</f>
        <v>0</v>
      </c>
      <c r="AE11" s="235"/>
    </row>
    <row r="12" spans="1:31" s="227" customFormat="1" ht="12.75" customHeight="1">
      <c r="A12" s="225" t="s">
        <v>723</v>
      </c>
      <c r="B12" s="323"/>
      <c r="C12" s="207"/>
      <c r="D12" s="290"/>
      <c r="E12" s="207"/>
      <c r="F12" s="290"/>
      <c r="G12" s="207"/>
      <c r="H12" s="691"/>
      <c r="I12" s="290"/>
      <c r="J12" s="207"/>
      <c r="K12" s="290"/>
      <c r="L12" s="207"/>
      <c r="M12" s="290"/>
      <c r="N12" s="207"/>
      <c r="O12" s="691"/>
      <c r="P12" s="290"/>
      <c r="Q12" s="207"/>
      <c r="R12" s="290"/>
      <c r="S12" s="207"/>
      <c r="T12" s="290"/>
      <c r="U12" s="207"/>
      <c r="V12" s="691"/>
      <c r="W12" s="290"/>
      <c r="X12" s="207"/>
      <c r="Y12" s="290"/>
      <c r="Z12" s="207"/>
      <c r="AA12" s="290"/>
      <c r="AB12" s="207"/>
      <c r="AC12" s="691"/>
      <c r="AD12" s="692"/>
      <c r="AE12" s="691"/>
    </row>
    <row r="13" spans="1:31" s="54" customFormat="1" ht="14.25" customHeight="1">
      <c r="A13" s="63" t="s">
        <v>27</v>
      </c>
      <c r="B13" s="324">
        <f>B89</f>
        <v>0</v>
      </c>
      <c r="C13" s="15"/>
      <c r="D13" s="291">
        <f>D89</f>
        <v>0</v>
      </c>
      <c r="E13" s="15"/>
      <c r="F13" s="291">
        <f>F89</f>
        <v>0</v>
      </c>
      <c r="G13" s="15"/>
      <c r="H13" s="235">
        <f aca="true" t="shared" si="4" ref="H13:H65">C13+E13+G13</f>
        <v>0</v>
      </c>
      <c r="I13" s="291">
        <f>I89</f>
        <v>0</v>
      </c>
      <c r="J13" s="15"/>
      <c r="K13" s="291">
        <f>K89</f>
        <v>0</v>
      </c>
      <c r="L13" s="15"/>
      <c r="M13" s="291">
        <f>M89</f>
        <v>0</v>
      </c>
      <c r="N13" s="15"/>
      <c r="O13" s="235">
        <f aca="true" t="shared" si="5" ref="O13:O65">J13+L13+N13</f>
        <v>0</v>
      </c>
      <c r="P13" s="291">
        <f>P89</f>
        <v>0</v>
      </c>
      <c r="Q13" s="15"/>
      <c r="R13" s="291">
        <f>R89</f>
        <v>0</v>
      </c>
      <c r="S13" s="15"/>
      <c r="T13" s="291">
        <f>T89</f>
        <v>0</v>
      </c>
      <c r="U13" s="15"/>
      <c r="V13" s="235">
        <f aca="true" t="shared" si="6" ref="V13:V65">Q13+S13+U13</f>
        <v>0</v>
      </c>
      <c r="W13" s="291">
        <f>W89</f>
        <v>0</v>
      </c>
      <c r="X13" s="15"/>
      <c r="Y13" s="291">
        <f>Y89</f>
        <v>0</v>
      </c>
      <c r="Z13" s="15"/>
      <c r="AA13" s="291">
        <f>AA89</f>
        <v>0</v>
      </c>
      <c r="AB13" s="15"/>
      <c r="AC13" s="235">
        <f aca="true" t="shared" si="7" ref="AC13:AC24">X13+Z13+AB13</f>
        <v>0</v>
      </c>
      <c r="AD13" s="11">
        <f>AD89</f>
        <v>0</v>
      </c>
      <c r="AE13" s="235"/>
    </row>
    <row r="14" spans="1:31" s="54" customFormat="1" ht="14.25" customHeight="1">
      <c r="A14" s="63" t="s">
        <v>118</v>
      </c>
      <c r="B14" s="324">
        <f>B98</f>
        <v>0</v>
      </c>
      <c r="C14" s="15"/>
      <c r="D14" s="291">
        <f>D98</f>
        <v>0</v>
      </c>
      <c r="E14" s="15"/>
      <c r="F14" s="291">
        <f>F98</f>
        <v>0</v>
      </c>
      <c r="G14" s="15"/>
      <c r="H14" s="235">
        <f t="shared" si="4"/>
        <v>0</v>
      </c>
      <c r="I14" s="291">
        <f>I98</f>
        <v>0</v>
      </c>
      <c r="J14" s="15"/>
      <c r="K14" s="291">
        <f>K98</f>
        <v>0</v>
      </c>
      <c r="L14" s="15"/>
      <c r="M14" s="291">
        <f>M98</f>
        <v>0</v>
      </c>
      <c r="N14" s="15"/>
      <c r="O14" s="235">
        <f t="shared" si="5"/>
        <v>0</v>
      </c>
      <c r="P14" s="291">
        <f>P98</f>
        <v>0</v>
      </c>
      <c r="Q14" s="15"/>
      <c r="R14" s="291">
        <f>R98</f>
        <v>0</v>
      </c>
      <c r="S14" s="15"/>
      <c r="T14" s="291">
        <f>T98</f>
        <v>0</v>
      </c>
      <c r="U14" s="15"/>
      <c r="V14" s="235">
        <f t="shared" si="6"/>
        <v>0</v>
      </c>
      <c r="W14" s="291">
        <f>W98</f>
        <v>0</v>
      </c>
      <c r="X14" s="15"/>
      <c r="Y14" s="291">
        <f>Y98</f>
        <v>0</v>
      </c>
      <c r="Z14" s="15"/>
      <c r="AA14" s="291">
        <f>AA98</f>
        <v>0</v>
      </c>
      <c r="AB14" s="15"/>
      <c r="AC14" s="235">
        <f t="shared" si="7"/>
        <v>0</v>
      </c>
      <c r="AD14" s="11">
        <f>AD98</f>
        <v>0</v>
      </c>
      <c r="AE14" s="235"/>
    </row>
    <row r="15" spans="1:31" s="54" customFormat="1" ht="14.25" customHeight="1">
      <c r="A15" s="63" t="s">
        <v>5</v>
      </c>
      <c r="B15" s="324">
        <f>B107</f>
        <v>0</v>
      </c>
      <c r="C15" s="15"/>
      <c r="D15" s="291">
        <f>D107</f>
        <v>0</v>
      </c>
      <c r="E15" s="15"/>
      <c r="F15" s="291">
        <f>F107</f>
        <v>0</v>
      </c>
      <c r="G15" s="15"/>
      <c r="H15" s="235">
        <f t="shared" si="4"/>
        <v>0</v>
      </c>
      <c r="I15" s="291">
        <f>I107</f>
        <v>0</v>
      </c>
      <c r="J15" s="15"/>
      <c r="K15" s="291">
        <f>K107</f>
        <v>0</v>
      </c>
      <c r="L15" s="15"/>
      <c r="M15" s="291">
        <f>M107</f>
        <v>0</v>
      </c>
      <c r="N15" s="15"/>
      <c r="O15" s="235">
        <f t="shared" si="5"/>
        <v>0</v>
      </c>
      <c r="P15" s="291">
        <f>P107</f>
        <v>0</v>
      </c>
      <c r="Q15" s="15"/>
      <c r="R15" s="291">
        <f>R107</f>
        <v>0</v>
      </c>
      <c r="S15" s="15"/>
      <c r="T15" s="291">
        <f>T107</f>
        <v>0</v>
      </c>
      <c r="U15" s="15"/>
      <c r="V15" s="235">
        <f t="shared" si="6"/>
        <v>0</v>
      </c>
      <c r="W15" s="291">
        <f>W107</f>
        <v>0</v>
      </c>
      <c r="X15" s="15"/>
      <c r="Y15" s="291">
        <f>Y107</f>
        <v>0</v>
      </c>
      <c r="Z15" s="15"/>
      <c r="AA15" s="291">
        <f>AA107</f>
        <v>0</v>
      </c>
      <c r="AB15" s="15"/>
      <c r="AC15" s="235">
        <f t="shared" si="7"/>
        <v>0</v>
      </c>
      <c r="AD15" s="11">
        <f>AD107</f>
        <v>0</v>
      </c>
      <c r="AE15" s="235"/>
    </row>
    <row r="16" spans="1:31" s="54" customFormat="1" ht="14.25" customHeight="1">
      <c r="A16" s="63" t="s">
        <v>4</v>
      </c>
      <c r="B16" s="324">
        <f>B116</f>
        <v>0</v>
      </c>
      <c r="C16" s="15"/>
      <c r="D16" s="291">
        <f>D116</f>
        <v>0</v>
      </c>
      <c r="E16" s="15"/>
      <c r="F16" s="291">
        <f>F116</f>
        <v>0</v>
      </c>
      <c r="G16" s="15"/>
      <c r="H16" s="235">
        <f t="shared" si="4"/>
        <v>0</v>
      </c>
      <c r="I16" s="291">
        <f>I116</f>
        <v>0</v>
      </c>
      <c r="J16" s="15"/>
      <c r="K16" s="291">
        <f>K116</f>
        <v>0</v>
      </c>
      <c r="L16" s="15"/>
      <c r="M16" s="291">
        <f>M116</f>
        <v>0</v>
      </c>
      <c r="N16" s="15"/>
      <c r="O16" s="235">
        <f t="shared" si="5"/>
        <v>0</v>
      </c>
      <c r="P16" s="291">
        <f>P116</f>
        <v>0</v>
      </c>
      <c r="Q16" s="15"/>
      <c r="R16" s="291">
        <f>R116</f>
        <v>0</v>
      </c>
      <c r="S16" s="15"/>
      <c r="T16" s="291">
        <f>T116</f>
        <v>0</v>
      </c>
      <c r="U16" s="15"/>
      <c r="V16" s="235">
        <f t="shared" si="6"/>
        <v>0</v>
      </c>
      <c r="W16" s="291">
        <f>W116</f>
        <v>0</v>
      </c>
      <c r="X16" s="15"/>
      <c r="Y16" s="291">
        <f>Y116</f>
        <v>0</v>
      </c>
      <c r="Z16" s="15"/>
      <c r="AA16" s="291">
        <f>AA116</f>
        <v>0</v>
      </c>
      <c r="AB16" s="15"/>
      <c r="AC16" s="235">
        <f t="shared" si="7"/>
        <v>0</v>
      </c>
      <c r="AD16" s="11">
        <f>AD116</f>
        <v>0</v>
      </c>
      <c r="AE16" s="235"/>
    </row>
    <row r="17" spans="1:31" s="54" customFormat="1" ht="14.25" customHeight="1">
      <c r="A17" s="63" t="s">
        <v>6</v>
      </c>
      <c r="B17" s="324">
        <f>B125</f>
        <v>0</v>
      </c>
      <c r="C17" s="15"/>
      <c r="D17" s="291">
        <f>D125</f>
        <v>0</v>
      </c>
      <c r="E17" s="15"/>
      <c r="F17" s="291">
        <f>F125</f>
        <v>0</v>
      </c>
      <c r="G17" s="15"/>
      <c r="H17" s="235">
        <f t="shared" si="4"/>
        <v>0</v>
      </c>
      <c r="I17" s="291">
        <f>I125</f>
        <v>0</v>
      </c>
      <c r="J17" s="15"/>
      <c r="K17" s="291">
        <f>K125</f>
        <v>0</v>
      </c>
      <c r="L17" s="15"/>
      <c r="M17" s="291">
        <f>M125</f>
        <v>0</v>
      </c>
      <c r="N17" s="15"/>
      <c r="O17" s="235">
        <f t="shared" si="5"/>
        <v>0</v>
      </c>
      <c r="P17" s="291">
        <f>P125</f>
        <v>0</v>
      </c>
      <c r="Q17" s="15"/>
      <c r="R17" s="291">
        <f>R125</f>
        <v>0</v>
      </c>
      <c r="S17" s="15"/>
      <c r="T17" s="291">
        <f>T125</f>
        <v>0</v>
      </c>
      <c r="U17" s="15"/>
      <c r="V17" s="235">
        <f t="shared" si="6"/>
        <v>0</v>
      </c>
      <c r="W17" s="291">
        <f>W125</f>
        <v>0</v>
      </c>
      <c r="X17" s="15"/>
      <c r="Y17" s="291">
        <f>Y125</f>
        <v>0</v>
      </c>
      <c r="Z17" s="15"/>
      <c r="AA17" s="291">
        <f>AA125</f>
        <v>0</v>
      </c>
      <c r="AB17" s="15"/>
      <c r="AC17" s="235">
        <f t="shared" si="7"/>
        <v>0</v>
      </c>
      <c r="AD17" s="11">
        <f>AD125</f>
        <v>0</v>
      </c>
      <c r="AE17" s="235"/>
    </row>
    <row r="18" spans="1:31" s="54" customFormat="1" ht="14.25" customHeight="1">
      <c r="A18" s="63" t="s">
        <v>26</v>
      </c>
      <c r="B18" s="324">
        <f>B134</f>
        <v>0</v>
      </c>
      <c r="C18" s="15"/>
      <c r="D18" s="291">
        <f>D134</f>
        <v>0</v>
      </c>
      <c r="E18" s="15"/>
      <c r="F18" s="291">
        <f>F134</f>
        <v>0</v>
      </c>
      <c r="G18" s="15"/>
      <c r="H18" s="235">
        <f t="shared" si="4"/>
        <v>0</v>
      </c>
      <c r="I18" s="291">
        <f>I134</f>
        <v>0</v>
      </c>
      <c r="J18" s="15"/>
      <c r="K18" s="291">
        <f>K134</f>
        <v>0</v>
      </c>
      <c r="L18" s="15"/>
      <c r="M18" s="291">
        <f>M134</f>
        <v>0</v>
      </c>
      <c r="N18" s="15"/>
      <c r="O18" s="235">
        <f t="shared" si="5"/>
        <v>0</v>
      </c>
      <c r="P18" s="291">
        <f>P134</f>
        <v>0</v>
      </c>
      <c r="Q18" s="15"/>
      <c r="R18" s="291">
        <f>R134</f>
        <v>0</v>
      </c>
      <c r="S18" s="15"/>
      <c r="T18" s="291">
        <f>T134</f>
        <v>0</v>
      </c>
      <c r="U18" s="15"/>
      <c r="V18" s="235">
        <f t="shared" si="6"/>
        <v>0</v>
      </c>
      <c r="W18" s="291">
        <f>W134</f>
        <v>0</v>
      </c>
      <c r="X18" s="15"/>
      <c r="Y18" s="291">
        <f>Y134</f>
        <v>0</v>
      </c>
      <c r="Z18" s="15"/>
      <c r="AA18" s="291">
        <f>AA134</f>
        <v>0</v>
      </c>
      <c r="AB18" s="15"/>
      <c r="AC18" s="235">
        <f t="shared" si="7"/>
        <v>0</v>
      </c>
      <c r="AD18" s="11">
        <f>AD134</f>
        <v>0</v>
      </c>
      <c r="AE18" s="235"/>
    </row>
    <row r="19" spans="1:31" s="51" customFormat="1" ht="28.5">
      <c r="A19" s="64" t="s">
        <v>105</v>
      </c>
      <c r="B19" s="325">
        <f aca="true" t="shared" si="8" ref="B19:G19">SUM(B13:B18)</f>
        <v>0</v>
      </c>
      <c r="C19" s="38">
        <f t="shared" si="8"/>
        <v>0</v>
      </c>
      <c r="D19" s="292">
        <f t="shared" si="8"/>
        <v>0</v>
      </c>
      <c r="E19" s="38">
        <f t="shared" si="8"/>
        <v>0</v>
      </c>
      <c r="F19" s="292">
        <f t="shared" si="8"/>
        <v>0</v>
      </c>
      <c r="G19" s="38">
        <f t="shared" si="8"/>
        <v>0</v>
      </c>
      <c r="H19" s="236">
        <f t="shared" si="4"/>
        <v>0</v>
      </c>
      <c r="I19" s="292">
        <f aca="true" t="shared" si="9" ref="I19:N19">SUM(I13:I18)</f>
        <v>0</v>
      </c>
      <c r="J19" s="38">
        <f t="shared" si="9"/>
        <v>0</v>
      </c>
      <c r="K19" s="292">
        <f t="shared" si="9"/>
        <v>0</v>
      </c>
      <c r="L19" s="38">
        <f t="shared" si="9"/>
        <v>0</v>
      </c>
      <c r="M19" s="292">
        <f t="shared" si="9"/>
        <v>0</v>
      </c>
      <c r="N19" s="38">
        <f t="shared" si="9"/>
        <v>0</v>
      </c>
      <c r="O19" s="236">
        <f t="shared" si="5"/>
        <v>0</v>
      </c>
      <c r="P19" s="292">
        <f aca="true" t="shared" si="10" ref="P19:U19">SUM(P13:P18)</f>
        <v>0</v>
      </c>
      <c r="Q19" s="38">
        <f t="shared" si="10"/>
        <v>0</v>
      </c>
      <c r="R19" s="292">
        <f t="shared" si="10"/>
        <v>0</v>
      </c>
      <c r="S19" s="38">
        <f t="shared" si="10"/>
        <v>0</v>
      </c>
      <c r="T19" s="292">
        <f t="shared" si="10"/>
        <v>0</v>
      </c>
      <c r="U19" s="38">
        <f t="shared" si="10"/>
        <v>0</v>
      </c>
      <c r="V19" s="236">
        <f t="shared" si="6"/>
        <v>0</v>
      </c>
      <c r="W19" s="292">
        <f aca="true" t="shared" si="11" ref="W19:AB19">SUM(W13:W18)</f>
        <v>0</v>
      </c>
      <c r="X19" s="38">
        <f t="shared" si="11"/>
        <v>0</v>
      </c>
      <c r="Y19" s="292">
        <f t="shared" si="11"/>
        <v>0</v>
      </c>
      <c r="Z19" s="38">
        <f t="shared" si="11"/>
        <v>0</v>
      </c>
      <c r="AA19" s="292">
        <f t="shared" si="11"/>
        <v>0</v>
      </c>
      <c r="AB19" s="38">
        <f t="shared" si="11"/>
        <v>0</v>
      </c>
      <c r="AC19" s="236">
        <f t="shared" si="7"/>
        <v>0</v>
      </c>
      <c r="AD19" s="40">
        <f>SUM(AD13:AD18)</f>
        <v>0</v>
      </c>
      <c r="AE19" s="236">
        <f>AC19+V19+O19+H19</f>
        <v>0</v>
      </c>
    </row>
    <row r="20" spans="1:47" s="121" customFormat="1" ht="15" customHeight="1">
      <c r="A20" s="116" t="s">
        <v>89</v>
      </c>
      <c r="B20" s="326">
        <f>B27+B36+B45+B54+B63+B72+B82+B91+B100+B109+B118+B127</f>
        <v>0</v>
      </c>
      <c r="C20" s="118"/>
      <c r="D20" s="293"/>
      <c r="E20" s="118"/>
      <c r="F20" s="293"/>
      <c r="G20" s="118">
        <v>5870</v>
      </c>
      <c r="H20" s="237">
        <f t="shared" si="4"/>
        <v>5870</v>
      </c>
      <c r="I20" s="293">
        <f>I27+I36+I45+I54+I63+I72+I82+I91+I100+I109+I118+I127</f>
        <v>0</v>
      </c>
      <c r="J20" s="118">
        <v>3704</v>
      </c>
      <c r="K20" s="293"/>
      <c r="L20" s="118">
        <v>2000</v>
      </c>
      <c r="M20" s="293"/>
      <c r="N20" s="118">
        <v>1856</v>
      </c>
      <c r="O20" s="237">
        <f t="shared" si="5"/>
        <v>7560</v>
      </c>
      <c r="P20" s="117"/>
      <c r="Q20" s="118">
        <v>1866</v>
      </c>
      <c r="R20" s="117"/>
      <c r="S20" s="118">
        <v>1866</v>
      </c>
      <c r="T20" s="293"/>
      <c r="U20" s="218">
        <v>1866</v>
      </c>
      <c r="V20" s="237">
        <f t="shared" si="6"/>
        <v>5598</v>
      </c>
      <c r="W20" s="293"/>
      <c r="X20" s="218"/>
      <c r="Y20" s="293"/>
      <c r="Z20" s="218"/>
      <c r="AA20" s="293"/>
      <c r="AB20" s="218"/>
      <c r="AC20" s="237">
        <f t="shared" si="7"/>
        <v>0</v>
      </c>
      <c r="AD20" s="117">
        <f>AD27+AD36+AD45+AD54+AD63+AD72+AD82+AD91+AD100+AD109+AD118+AD127</f>
        <v>0</v>
      </c>
      <c r="AE20" s="237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T20" s="122"/>
      <c r="AU20" s="122"/>
    </row>
    <row r="21" spans="1:47" s="121" customFormat="1" ht="15" customHeight="1">
      <c r="A21" s="116" t="s">
        <v>261</v>
      </c>
      <c r="B21" s="326">
        <f>B30+B39+B48+B57+B66+B75+B85+B103+B112+B121+B130</f>
        <v>0</v>
      </c>
      <c r="C21" s="118"/>
      <c r="D21" s="293"/>
      <c r="E21" s="118"/>
      <c r="F21" s="293"/>
      <c r="G21" s="118">
        <v>2641.85</v>
      </c>
      <c r="H21" s="237">
        <f t="shared" si="4"/>
        <v>2641.85</v>
      </c>
      <c r="I21" s="293">
        <f>I30+I39+I48+I57+I66+I75+I85+I103+I112+I121+I130</f>
        <v>0</v>
      </c>
      <c r="J21" s="118">
        <v>1666.65</v>
      </c>
      <c r="K21" s="293"/>
      <c r="L21" s="118">
        <v>900</v>
      </c>
      <c r="M21" s="293"/>
      <c r="N21" s="118">
        <v>933</v>
      </c>
      <c r="O21" s="237">
        <f t="shared" si="5"/>
        <v>3499.65</v>
      </c>
      <c r="P21" s="117"/>
      <c r="Q21" s="118">
        <v>933</v>
      </c>
      <c r="R21" s="117"/>
      <c r="S21" s="118">
        <v>933</v>
      </c>
      <c r="T21" s="293"/>
      <c r="U21" s="218">
        <v>933</v>
      </c>
      <c r="V21" s="237">
        <f t="shared" si="6"/>
        <v>2799</v>
      </c>
      <c r="W21" s="293"/>
      <c r="X21" s="218"/>
      <c r="Y21" s="293"/>
      <c r="Z21" s="218"/>
      <c r="AA21" s="293"/>
      <c r="AB21" s="218"/>
      <c r="AC21" s="237">
        <f t="shared" si="7"/>
        <v>0</v>
      </c>
      <c r="AD21" s="117">
        <f>AD30+AD39+AD48+AD57+AD66+AD75+AD85+AD103+AD112+AD121+AD130</f>
        <v>0</v>
      </c>
      <c r="AE21" s="237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T21" s="122"/>
      <c r="AU21" s="122"/>
    </row>
    <row r="22" spans="1:47" s="121" customFormat="1" ht="15" customHeight="1">
      <c r="A22" s="116" t="s">
        <v>90</v>
      </c>
      <c r="B22" s="326">
        <f>B31+B40+B49+B58+B67+B76+B86+B104+B113+B122+B131</f>
        <v>0</v>
      </c>
      <c r="C22" s="118"/>
      <c r="D22" s="293"/>
      <c r="E22" s="118"/>
      <c r="F22" s="293"/>
      <c r="G22" s="118">
        <v>3170</v>
      </c>
      <c r="H22" s="237">
        <f t="shared" si="4"/>
        <v>3170</v>
      </c>
      <c r="I22" s="293">
        <f>I31+I40+I49+I58+I67+I76+I86+I104+I113+I122+I131</f>
        <v>0</v>
      </c>
      <c r="J22" s="118">
        <v>2000</v>
      </c>
      <c r="K22" s="293"/>
      <c r="L22" s="118">
        <v>1153</v>
      </c>
      <c r="M22" s="293"/>
      <c r="N22" s="118">
        <v>1120</v>
      </c>
      <c r="O22" s="237">
        <f t="shared" si="5"/>
        <v>4273</v>
      </c>
      <c r="P22" s="117"/>
      <c r="Q22" s="118">
        <v>1120</v>
      </c>
      <c r="R22" s="117"/>
      <c r="S22" s="118">
        <v>1120</v>
      </c>
      <c r="T22" s="293"/>
      <c r="U22" s="218">
        <v>1120</v>
      </c>
      <c r="V22" s="237">
        <f t="shared" si="6"/>
        <v>3360</v>
      </c>
      <c r="W22" s="293"/>
      <c r="X22" s="218"/>
      <c r="Y22" s="293"/>
      <c r="Z22" s="218"/>
      <c r="AA22" s="293"/>
      <c r="AB22" s="218"/>
      <c r="AC22" s="237">
        <f t="shared" si="7"/>
        <v>0</v>
      </c>
      <c r="AD22" s="117">
        <f>AD31+AD40+AD49+AD58+AD67+AD76+AD86+AD104+AD113+AD122+AD131</f>
        <v>0</v>
      </c>
      <c r="AE22" s="237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T22" s="122"/>
      <c r="AU22" s="122"/>
    </row>
    <row r="23" spans="1:47" s="121" customFormat="1" ht="30.75" customHeight="1">
      <c r="A23" s="116" t="s">
        <v>88</v>
      </c>
      <c r="B23" s="326">
        <f>B32+B41+B50+B59+B68+B77+B87+B105+B114+B123+B132</f>
        <v>0</v>
      </c>
      <c r="C23" s="118"/>
      <c r="D23" s="293"/>
      <c r="E23" s="118"/>
      <c r="F23" s="293"/>
      <c r="G23" s="118">
        <v>5283</v>
      </c>
      <c r="H23" s="237">
        <f t="shared" si="4"/>
        <v>5283</v>
      </c>
      <c r="I23" s="293">
        <f>I32+I41+I50+I59+I68+I77+I87+I105+I114+I123+I132</f>
        <v>0</v>
      </c>
      <c r="J23" s="118">
        <v>3333</v>
      </c>
      <c r="K23" s="293"/>
      <c r="L23" s="118"/>
      <c r="M23" s="293"/>
      <c r="N23" s="118">
        <v>209320</v>
      </c>
      <c r="O23" s="237">
        <f t="shared" si="5"/>
        <v>212653</v>
      </c>
      <c r="P23" s="117"/>
      <c r="Q23" s="118"/>
      <c r="R23" s="117"/>
      <c r="S23" s="118"/>
      <c r="T23" s="293"/>
      <c r="U23" s="218"/>
      <c r="V23" s="237">
        <f t="shared" si="6"/>
        <v>0</v>
      </c>
      <c r="W23" s="293"/>
      <c r="X23" s="218"/>
      <c r="Y23" s="293"/>
      <c r="Z23" s="218"/>
      <c r="AA23" s="293"/>
      <c r="AB23" s="218"/>
      <c r="AC23" s="237">
        <f t="shared" si="7"/>
        <v>0</v>
      </c>
      <c r="AD23" s="117">
        <f>AD32+AD41+AD50+AD59+AD68+AD77+AD87+AD105+AD114+AD123+AD132</f>
        <v>0</v>
      </c>
      <c r="AE23" s="237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T23" s="122"/>
      <c r="AU23" s="122"/>
    </row>
    <row r="24" spans="1:31" s="55" customFormat="1" ht="16.5" customHeight="1">
      <c r="A24" s="64" t="s">
        <v>102</v>
      </c>
      <c r="B24" s="327">
        <f aca="true" t="shared" si="12" ref="B24:G24">SUM(B20:B23)</f>
        <v>0</v>
      </c>
      <c r="C24" s="115">
        <f t="shared" si="12"/>
        <v>0</v>
      </c>
      <c r="D24" s="294">
        <f t="shared" si="12"/>
        <v>0</v>
      </c>
      <c r="E24" s="115">
        <f t="shared" si="12"/>
        <v>0</v>
      </c>
      <c r="F24" s="294">
        <f t="shared" si="12"/>
        <v>0</v>
      </c>
      <c r="G24" s="115">
        <f t="shared" si="12"/>
        <v>16964.85</v>
      </c>
      <c r="H24" s="238">
        <f t="shared" si="4"/>
        <v>16964.85</v>
      </c>
      <c r="I24" s="294">
        <v>60000</v>
      </c>
      <c r="J24" s="115">
        <f>SUM(J20:J23)</f>
        <v>10703.65</v>
      </c>
      <c r="K24" s="294">
        <f>SUM(K20:K23)</f>
        <v>0</v>
      </c>
      <c r="L24" s="115">
        <f>SUM(L20:L23)</f>
        <v>4053</v>
      </c>
      <c r="M24" s="294">
        <f>SUM(M20:M23)</f>
        <v>0</v>
      </c>
      <c r="N24" s="115">
        <f>SUM(N20:N23)</f>
        <v>213229</v>
      </c>
      <c r="O24" s="238">
        <f t="shared" si="5"/>
        <v>227985.65</v>
      </c>
      <c r="P24" s="294">
        <f aca="true" t="shared" si="13" ref="P24:U24">SUM(P20:P23)</f>
        <v>0</v>
      </c>
      <c r="Q24" s="115">
        <f t="shared" si="13"/>
        <v>3919</v>
      </c>
      <c r="R24" s="294">
        <f t="shared" si="13"/>
        <v>0</v>
      </c>
      <c r="S24" s="115">
        <f t="shared" si="13"/>
        <v>3919</v>
      </c>
      <c r="T24" s="294">
        <f t="shared" si="13"/>
        <v>0</v>
      </c>
      <c r="U24" s="115">
        <f t="shared" si="13"/>
        <v>3919</v>
      </c>
      <c r="V24" s="238">
        <f t="shared" si="6"/>
        <v>11757</v>
      </c>
      <c r="W24" s="294">
        <f aca="true" t="shared" si="14" ref="W24:AB24">SUM(W20:W23)</f>
        <v>0</v>
      </c>
      <c r="X24" s="115">
        <f t="shared" si="14"/>
        <v>0</v>
      </c>
      <c r="Y24" s="294">
        <f t="shared" si="14"/>
        <v>0</v>
      </c>
      <c r="Z24" s="115">
        <f>SUM(Z20:Z23)</f>
        <v>0</v>
      </c>
      <c r="AA24" s="294">
        <f t="shared" si="14"/>
        <v>0</v>
      </c>
      <c r="AB24" s="115">
        <f t="shared" si="14"/>
        <v>0</v>
      </c>
      <c r="AC24" s="238">
        <f t="shared" si="7"/>
        <v>0</v>
      </c>
      <c r="AD24" s="114">
        <f>SUM(AD20:AD23)</f>
        <v>0</v>
      </c>
      <c r="AE24" s="238">
        <f>AC24+V24+O24+H24</f>
        <v>256707.5</v>
      </c>
    </row>
    <row r="25" spans="1:31" s="227" customFormat="1" ht="12.75" customHeight="1">
      <c r="A25" s="225" t="s">
        <v>161</v>
      </c>
      <c r="B25" s="323" t="e">
        <f aca="true" t="shared" si="15" ref="B25:R25">B24/B137</f>
        <v>#DIV/0!</v>
      </c>
      <c r="C25" s="207" t="e">
        <f t="shared" si="15"/>
        <v>#DIV/0!</v>
      </c>
      <c r="D25" s="290" t="e">
        <f t="shared" si="15"/>
        <v>#DIV/0!</v>
      </c>
      <c r="E25" s="207" t="e">
        <f t="shared" si="15"/>
        <v>#DIV/0!</v>
      </c>
      <c r="F25" s="290" t="e">
        <f t="shared" si="15"/>
        <v>#DIV/0!</v>
      </c>
      <c r="G25" s="207">
        <f t="shared" si="15"/>
        <v>1</v>
      </c>
      <c r="H25" s="207">
        <f t="shared" si="15"/>
        <v>1</v>
      </c>
      <c r="I25" s="290">
        <f t="shared" si="15"/>
        <v>1</v>
      </c>
      <c r="J25" s="207">
        <f>J24/J137</f>
        <v>1</v>
      </c>
      <c r="K25" s="290" t="e">
        <f t="shared" si="15"/>
        <v>#DIV/0!</v>
      </c>
      <c r="L25" s="207">
        <f t="shared" si="15"/>
        <v>1</v>
      </c>
      <c r="M25" s="290" t="e">
        <f t="shared" si="15"/>
        <v>#DIV/0!</v>
      </c>
      <c r="N25" s="207">
        <f t="shared" si="15"/>
        <v>1</v>
      </c>
      <c r="O25" s="257">
        <f t="shared" si="15"/>
        <v>1</v>
      </c>
      <c r="P25" s="290" t="e">
        <f t="shared" si="15"/>
        <v>#DIV/0!</v>
      </c>
      <c r="Q25" s="207">
        <f t="shared" si="15"/>
        <v>1</v>
      </c>
      <c r="R25" s="290" t="e">
        <f t="shared" si="15"/>
        <v>#DIV/0!</v>
      </c>
      <c r="S25" s="207">
        <f aca="true" t="shared" si="16" ref="S25:AC25">S24/S137</f>
        <v>1</v>
      </c>
      <c r="T25" s="290" t="e">
        <f t="shared" si="16"/>
        <v>#DIV/0!</v>
      </c>
      <c r="U25" s="207">
        <f t="shared" si="16"/>
        <v>1</v>
      </c>
      <c r="V25" s="257">
        <f t="shared" si="16"/>
        <v>1</v>
      </c>
      <c r="W25" s="290" t="e">
        <f t="shared" si="16"/>
        <v>#DIV/0!</v>
      </c>
      <c r="X25" s="207" t="e">
        <f t="shared" si="16"/>
        <v>#DIV/0!</v>
      </c>
      <c r="Y25" s="290" t="e">
        <f t="shared" si="16"/>
        <v>#DIV/0!</v>
      </c>
      <c r="Z25" s="207" t="e">
        <f t="shared" si="16"/>
        <v>#DIV/0!</v>
      </c>
      <c r="AA25" s="290" t="e">
        <f t="shared" si="16"/>
        <v>#DIV/0!</v>
      </c>
      <c r="AB25" s="207" t="e">
        <f t="shared" si="16"/>
        <v>#DIV/0!</v>
      </c>
      <c r="AC25" s="257" t="e">
        <f t="shared" si="16"/>
        <v>#DIV/0!</v>
      </c>
      <c r="AD25" s="215" t="e">
        <f>AD24/AD137</f>
        <v>#DIV/0!</v>
      </c>
      <c r="AE25" s="257"/>
    </row>
    <row r="26" spans="1:31" s="144" customFormat="1" ht="20.25" customHeight="1" hidden="1" outlineLevel="1">
      <c r="A26" s="141" t="s">
        <v>29</v>
      </c>
      <c r="B26" s="328"/>
      <c r="C26" s="208"/>
      <c r="D26" s="295"/>
      <c r="E26" s="208"/>
      <c r="F26" s="295"/>
      <c r="G26" s="143"/>
      <c r="H26" s="239">
        <f t="shared" si="4"/>
        <v>0</v>
      </c>
      <c r="I26" s="295"/>
      <c r="J26" s="143"/>
      <c r="K26" s="295"/>
      <c r="L26" s="143"/>
      <c r="M26" s="295"/>
      <c r="N26" s="143"/>
      <c r="O26" s="239">
        <f t="shared" si="5"/>
        <v>0</v>
      </c>
      <c r="P26" s="295"/>
      <c r="Q26" s="143"/>
      <c r="R26" s="295"/>
      <c r="S26" s="143"/>
      <c r="T26" s="295"/>
      <c r="U26" s="143"/>
      <c r="V26" s="239">
        <f t="shared" si="6"/>
        <v>0</v>
      </c>
      <c r="W26" s="295"/>
      <c r="X26" s="143"/>
      <c r="Y26" s="295"/>
      <c r="Z26" s="143"/>
      <c r="AA26" s="295"/>
      <c r="AB26" s="143"/>
      <c r="AC26" s="239">
        <f aca="true" t="shared" si="17" ref="AC26:AC92">X26+Z26+AB26</f>
        <v>0</v>
      </c>
      <c r="AD26" s="142"/>
      <c r="AE26" s="239"/>
    </row>
    <row r="27" spans="1:31" s="148" customFormat="1" ht="10.5" customHeight="1" hidden="1" outlineLevel="1">
      <c r="A27" s="145" t="s">
        <v>106</v>
      </c>
      <c r="B27" s="329"/>
      <c r="C27" s="209"/>
      <c r="D27" s="296"/>
      <c r="E27" s="209"/>
      <c r="F27" s="296"/>
      <c r="G27" s="147"/>
      <c r="H27" s="240">
        <f t="shared" si="4"/>
        <v>0</v>
      </c>
      <c r="I27" s="296"/>
      <c r="J27" s="147"/>
      <c r="K27" s="296"/>
      <c r="L27" s="147"/>
      <c r="M27" s="296"/>
      <c r="N27" s="147"/>
      <c r="O27" s="240">
        <f t="shared" si="5"/>
        <v>0</v>
      </c>
      <c r="P27" s="296"/>
      <c r="Q27" s="147"/>
      <c r="R27" s="296"/>
      <c r="S27" s="147"/>
      <c r="T27" s="296"/>
      <c r="U27" s="147"/>
      <c r="V27" s="240">
        <f t="shared" si="6"/>
        <v>0</v>
      </c>
      <c r="W27" s="296"/>
      <c r="X27" s="147"/>
      <c r="Y27" s="296"/>
      <c r="Z27" s="147"/>
      <c r="AA27" s="296"/>
      <c r="AB27" s="147"/>
      <c r="AC27" s="240">
        <f t="shared" si="17"/>
        <v>0</v>
      </c>
      <c r="AD27" s="146"/>
      <c r="AE27" s="240"/>
    </row>
    <row r="28" spans="1:31" s="148" customFormat="1" ht="10.5" customHeight="1" hidden="1" outlineLevel="1">
      <c r="A28" s="145" t="s">
        <v>112</v>
      </c>
      <c r="B28" s="329"/>
      <c r="C28" s="209"/>
      <c r="D28" s="296"/>
      <c r="E28" s="209"/>
      <c r="F28" s="296"/>
      <c r="G28" s="147"/>
      <c r="H28" s="240">
        <f t="shared" si="4"/>
        <v>0</v>
      </c>
      <c r="I28" s="296"/>
      <c r="J28" s="147"/>
      <c r="K28" s="296"/>
      <c r="L28" s="147"/>
      <c r="M28" s="296"/>
      <c r="N28" s="147"/>
      <c r="O28" s="240">
        <f t="shared" si="5"/>
        <v>0</v>
      </c>
      <c r="P28" s="296"/>
      <c r="Q28" s="147"/>
      <c r="R28" s="296"/>
      <c r="S28" s="147"/>
      <c r="T28" s="296"/>
      <c r="U28" s="147"/>
      <c r="V28" s="240">
        <f t="shared" si="6"/>
        <v>0</v>
      </c>
      <c r="W28" s="296"/>
      <c r="X28" s="147"/>
      <c r="Y28" s="296"/>
      <c r="Z28" s="147"/>
      <c r="AA28" s="296"/>
      <c r="AB28" s="147"/>
      <c r="AC28" s="240">
        <f t="shared" si="17"/>
        <v>0</v>
      </c>
      <c r="AD28" s="146"/>
      <c r="AE28" s="240"/>
    </row>
    <row r="29" spans="1:31" s="148" customFormat="1" ht="10.5" customHeight="1" hidden="1" outlineLevel="1">
      <c r="A29" s="145" t="s">
        <v>107</v>
      </c>
      <c r="B29" s="329"/>
      <c r="C29" s="209"/>
      <c r="D29" s="296"/>
      <c r="E29" s="209"/>
      <c r="F29" s="296"/>
      <c r="G29" s="147"/>
      <c r="H29" s="240">
        <f t="shared" si="4"/>
        <v>0</v>
      </c>
      <c r="I29" s="296"/>
      <c r="J29" s="147"/>
      <c r="K29" s="296"/>
      <c r="L29" s="147"/>
      <c r="M29" s="296"/>
      <c r="N29" s="147"/>
      <c r="O29" s="240">
        <f t="shared" si="5"/>
        <v>0</v>
      </c>
      <c r="P29" s="296"/>
      <c r="Q29" s="147"/>
      <c r="R29" s="296"/>
      <c r="S29" s="147"/>
      <c r="T29" s="296"/>
      <c r="U29" s="147"/>
      <c r="V29" s="240">
        <f t="shared" si="6"/>
        <v>0</v>
      </c>
      <c r="W29" s="296"/>
      <c r="X29" s="147"/>
      <c r="Y29" s="296"/>
      <c r="Z29" s="147"/>
      <c r="AA29" s="296"/>
      <c r="AB29" s="147"/>
      <c r="AC29" s="240">
        <f t="shared" si="17"/>
        <v>0</v>
      </c>
      <c r="AD29" s="146"/>
      <c r="AE29" s="240"/>
    </row>
    <row r="30" spans="1:31" s="148" customFormat="1" ht="10.5" customHeight="1" hidden="1" outlineLevel="1">
      <c r="A30" s="145" t="s">
        <v>108</v>
      </c>
      <c r="B30" s="324"/>
      <c r="C30" s="209"/>
      <c r="D30" s="291"/>
      <c r="E30" s="209"/>
      <c r="F30" s="291"/>
      <c r="G30" s="147"/>
      <c r="H30" s="240">
        <f t="shared" si="4"/>
        <v>0</v>
      </c>
      <c r="I30" s="291"/>
      <c r="J30" s="147"/>
      <c r="K30" s="291"/>
      <c r="L30" s="147"/>
      <c r="M30" s="291"/>
      <c r="N30" s="147"/>
      <c r="O30" s="240">
        <f t="shared" si="5"/>
        <v>0</v>
      </c>
      <c r="P30" s="291"/>
      <c r="Q30" s="147"/>
      <c r="R30" s="291"/>
      <c r="S30" s="147"/>
      <c r="T30" s="291"/>
      <c r="U30" s="147"/>
      <c r="V30" s="240">
        <f t="shared" si="6"/>
        <v>0</v>
      </c>
      <c r="W30" s="291"/>
      <c r="X30" s="147"/>
      <c r="Y30" s="291"/>
      <c r="Z30" s="147"/>
      <c r="AA30" s="291"/>
      <c r="AB30" s="147"/>
      <c r="AC30" s="240">
        <f t="shared" si="17"/>
        <v>0</v>
      </c>
      <c r="AD30" s="149"/>
      <c r="AE30" s="240"/>
    </row>
    <row r="31" spans="1:31" s="148" customFormat="1" ht="10.5" customHeight="1" hidden="1" outlineLevel="1">
      <c r="A31" s="145" t="s">
        <v>109</v>
      </c>
      <c r="B31" s="324"/>
      <c r="C31" s="209"/>
      <c r="D31" s="291"/>
      <c r="E31" s="209"/>
      <c r="F31" s="291"/>
      <c r="G31" s="147"/>
      <c r="H31" s="240">
        <f t="shared" si="4"/>
        <v>0</v>
      </c>
      <c r="I31" s="291"/>
      <c r="J31" s="147"/>
      <c r="K31" s="291"/>
      <c r="L31" s="147"/>
      <c r="M31" s="291"/>
      <c r="N31" s="147"/>
      <c r="O31" s="240">
        <f t="shared" si="5"/>
        <v>0</v>
      </c>
      <c r="P31" s="291"/>
      <c r="Q31" s="147"/>
      <c r="R31" s="291"/>
      <c r="S31" s="147"/>
      <c r="T31" s="291"/>
      <c r="U31" s="147"/>
      <c r="V31" s="240">
        <f t="shared" si="6"/>
        <v>0</v>
      </c>
      <c r="W31" s="291"/>
      <c r="X31" s="147"/>
      <c r="Y31" s="291"/>
      <c r="Z31" s="147"/>
      <c r="AA31" s="291"/>
      <c r="AB31" s="147"/>
      <c r="AC31" s="240">
        <f t="shared" si="17"/>
        <v>0</v>
      </c>
      <c r="AD31" s="149"/>
      <c r="AE31" s="240"/>
    </row>
    <row r="32" spans="1:31" s="148" customFormat="1" ht="10.5" customHeight="1" hidden="1" outlineLevel="1">
      <c r="A32" s="145" t="s">
        <v>110</v>
      </c>
      <c r="B32" s="324"/>
      <c r="C32" s="209"/>
      <c r="D32" s="291"/>
      <c r="E32" s="209"/>
      <c r="F32" s="291"/>
      <c r="G32" s="147"/>
      <c r="H32" s="240">
        <f t="shared" si="4"/>
        <v>0</v>
      </c>
      <c r="I32" s="291"/>
      <c r="J32" s="147"/>
      <c r="K32" s="291"/>
      <c r="L32" s="147"/>
      <c r="M32" s="291"/>
      <c r="N32" s="147"/>
      <c r="O32" s="240">
        <f t="shared" si="5"/>
        <v>0</v>
      </c>
      <c r="P32" s="291"/>
      <c r="Q32" s="147"/>
      <c r="R32" s="291"/>
      <c r="S32" s="147"/>
      <c r="T32" s="291"/>
      <c r="U32" s="147"/>
      <c r="V32" s="240">
        <f t="shared" si="6"/>
        <v>0</v>
      </c>
      <c r="W32" s="291"/>
      <c r="X32" s="147"/>
      <c r="Y32" s="291"/>
      <c r="Z32" s="147"/>
      <c r="AA32" s="291"/>
      <c r="AB32" s="147"/>
      <c r="AC32" s="240">
        <f t="shared" si="17"/>
        <v>0</v>
      </c>
      <c r="AD32" s="149"/>
      <c r="AE32" s="240"/>
    </row>
    <row r="33" spans="1:31" s="148" customFormat="1" ht="10.5" customHeight="1" hidden="1" outlineLevel="1">
      <c r="A33" s="145" t="s">
        <v>111</v>
      </c>
      <c r="B33" s="329"/>
      <c r="C33" s="209"/>
      <c r="D33" s="296"/>
      <c r="E33" s="209"/>
      <c r="F33" s="296"/>
      <c r="G33" s="147"/>
      <c r="H33" s="240">
        <f t="shared" si="4"/>
        <v>0</v>
      </c>
      <c r="I33" s="296"/>
      <c r="J33" s="147"/>
      <c r="K33" s="296"/>
      <c r="L33" s="147"/>
      <c r="M33" s="296"/>
      <c r="N33" s="147"/>
      <c r="O33" s="240">
        <f t="shared" si="5"/>
        <v>0</v>
      </c>
      <c r="P33" s="296"/>
      <c r="Q33" s="147"/>
      <c r="R33" s="296"/>
      <c r="S33" s="147"/>
      <c r="T33" s="296"/>
      <c r="U33" s="147"/>
      <c r="V33" s="240">
        <f t="shared" si="6"/>
        <v>0</v>
      </c>
      <c r="W33" s="296"/>
      <c r="X33" s="147"/>
      <c r="Y33" s="296"/>
      <c r="Z33" s="147"/>
      <c r="AA33" s="296"/>
      <c r="AB33" s="147"/>
      <c r="AC33" s="240">
        <f t="shared" si="17"/>
        <v>0</v>
      </c>
      <c r="AD33" s="146"/>
      <c r="AE33" s="240"/>
    </row>
    <row r="34" spans="1:31" s="148" customFormat="1" ht="10.5" customHeight="1" hidden="1" outlineLevel="1" thickBot="1">
      <c r="A34" s="150" t="s">
        <v>113</v>
      </c>
      <c r="B34" s="330"/>
      <c r="C34" s="210"/>
      <c r="D34" s="297"/>
      <c r="E34" s="210"/>
      <c r="F34" s="297"/>
      <c r="G34" s="151"/>
      <c r="H34" s="241">
        <f t="shared" si="4"/>
        <v>0</v>
      </c>
      <c r="I34" s="297"/>
      <c r="J34" s="151"/>
      <c r="K34" s="297"/>
      <c r="L34" s="151"/>
      <c r="M34" s="297"/>
      <c r="N34" s="151"/>
      <c r="O34" s="241">
        <f t="shared" si="5"/>
        <v>0</v>
      </c>
      <c r="P34" s="297"/>
      <c r="Q34" s="151"/>
      <c r="R34" s="297"/>
      <c r="S34" s="151"/>
      <c r="T34" s="297"/>
      <c r="U34" s="151"/>
      <c r="V34" s="241">
        <f t="shared" si="6"/>
        <v>0</v>
      </c>
      <c r="W34" s="297"/>
      <c r="X34" s="151"/>
      <c r="Y34" s="297"/>
      <c r="Z34" s="151"/>
      <c r="AA34" s="297"/>
      <c r="AB34" s="151"/>
      <c r="AC34" s="241">
        <f t="shared" si="17"/>
        <v>0</v>
      </c>
      <c r="AD34" s="152"/>
      <c r="AE34" s="241"/>
    </row>
    <row r="35" spans="1:31" s="144" customFormat="1" ht="20.25" customHeight="1" hidden="1" outlineLevel="1">
      <c r="A35" s="153" t="s">
        <v>30</v>
      </c>
      <c r="B35" s="331"/>
      <c r="C35" s="211"/>
      <c r="D35" s="298"/>
      <c r="E35" s="211"/>
      <c r="F35" s="298"/>
      <c r="G35" s="155"/>
      <c r="H35" s="242">
        <f t="shared" si="4"/>
        <v>0</v>
      </c>
      <c r="I35" s="298"/>
      <c r="J35" s="155"/>
      <c r="K35" s="298"/>
      <c r="L35" s="155"/>
      <c r="M35" s="298"/>
      <c r="N35" s="155"/>
      <c r="O35" s="242">
        <f t="shared" si="5"/>
        <v>0</v>
      </c>
      <c r="P35" s="298"/>
      <c r="Q35" s="155"/>
      <c r="R35" s="298"/>
      <c r="S35" s="155"/>
      <c r="T35" s="298"/>
      <c r="U35" s="155"/>
      <c r="V35" s="242">
        <f t="shared" si="6"/>
        <v>0</v>
      </c>
      <c r="W35" s="298"/>
      <c r="X35" s="155"/>
      <c r="Y35" s="298"/>
      <c r="Z35" s="155"/>
      <c r="AA35" s="298"/>
      <c r="AB35" s="155"/>
      <c r="AC35" s="242">
        <f t="shared" si="17"/>
        <v>0</v>
      </c>
      <c r="AD35" s="154"/>
      <c r="AE35" s="242"/>
    </row>
    <row r="36" spans="1:31" s="148" customFormat="1" ht="10.5" customHeight="1" hidden="1" outlineLevel="1">
      <c r="A36" s="145" t="s">
        <v>106</v>
      </c>
      <c r="B36" s="329"/>
      <c r="C36" s="209"/>
      <c r="D36" s="296"/>
      <c r="E36" s="209"/>
      <c r="F36" s="296"/>
      <c r="G36" s="147"/>
      <c r="H36" s="240">
        <f t="shared" si="4"/>
        <v>0</v>
      </c>
      <c r="I36" s="296"/>
      <c r="J36" s="147"/>
      <c r="K36" s="296"/>
      <c r="L36" s="147"/>
      <c r="M36" s="296"/>
      <c r="N36" s="147"/>
      <c r="O36" s="240">
        <f t="shared" si="5"/>
        <v>0</v>
      </c>
      <c r="P36" s="296"/>
      <c r="Q36" s="147"/>
      <c r="R36" s="296"/>
      <c r="S36" s="147"/>
      <c r="T36" s="296"/>
      <c r="U36" s="147"/>
      <c r="V36" s="240">
        <f t="shared" si="6"/>
        <v>0</v>
      </c>
      <c r="W36" s="296"/>
      <c r="X36" s="147"/>
      <c r="Y36" s="296"/>
      <c r="Z36" s="147"/>
      <c r="AA36" s="296"/>
      <c r="AB36" s="147"/>
      <c r="AC36" s="240">
        <f t="shared" si="17"/>
        <v>0</v>
      </c>
      <c r="AD36" s="146"/>
      <c r="AE36" s="240"/>
    </row>
    <row r="37" spans="1:31" s="148" customFormat="1" ht="10.5" customHeight="1" hidden="1" outlineLevel="1">
      <c r="A37" s="145" t="s">
        <v>112</v>
      </c>
      <c r="B37" s="329"/>
      <c r="C37" s="209"/>
      <c r="D37" s="296"/>
      <c r="E37" s="209"/>
      <c r="F37" s="296"/>
      <c r="G37" s="147"/>
      <c r="H37" s="240">
        <f t="shared" si="4"/>
        <v>0</v>
      </c>
      <c r="I37" s="296"/>
      <c r="J37" s="147"/>
      <c r="K37" s="296"/>
      <c r="L37" s="147"/>
      <c r="M37" s="296"/>
      <c r="N37" s="147"/>
      <c r="O37" s="240">
        <f t="shared" si="5"/>
        <v>0</v>
      </c>
      <c r="P37" s="296"/>
      <c r="Q37" s="147"/>
      <c r="R37" s="296"/>
      <c r="S37" s="147"/>
      <c r="T37" s="296"/>
      <c r="U37" s="147"/>
      <c r="V37" s="240">
        <f t="shared" si="6"/>
        <v>0</v>
      </c>
      <c r="W37" s="296"/>
      <c r="X37" s="147"/>
      <c r="Y37" s="296"/>
      <c r="Z37" s="147"/>
      <c r="AA37" s="296"/>
      <c r="AB37" s="147"/>
      <c r="AC37" s="240">
        <f t="shared" si="17"/>
        <v>0</v>
      </c>
      <c r="AD37" s="146"/>
      <c r="AE37" s="240"/>
    </row>
    <row r="38" spans="1:31" s="148" customFormat="1" ht="10.5" customHeight="1" hidden="1" outlineLevel="1">
      <c r="A38" s="145" t="s">
        <v>107</v>
      </c>
      <c r="B38" s="329"/>
      <c r="C38" s="209"/>
      <c r="D38" s="296"/>
      <c r="E38" s="209"/>
      <c r="F38" s="296"/>
      <c r="G38" s="147"/>
      <c r="H38" s="240">
        <f t="shared" si="4"/>
        <v>0</v>
      </c>
      <c r="I38" s="296"/>
      <c r="J38" s="147"/>
      <c r="K38" s="296"/>
      <c r="L38" s="147"/>
      <c r="M38" s="296"/>
      <c r="N38" s="147"/>
      <c r="O38" s="240">
        <f t="shared" si="5"/>
        <v>0</v>
      </c>
      <c r="P38" s="296"/>
      <c r="Q38" s="147"/>
      <c r="R38" s="296"/>
      <c r="S38" s="147"/>
      <c r="T38" s="296"/>
      <c r="U38" s="147"/>
      <c r="V38" s="240">
        <f t="shared" si="6"/>
        <v>0</v>
      </c>
      <c r="W38" s="296"/>
      <c r="X38" s="147"/>
      <c r="Y38" s="296"/>
      <c r="Z38" s="147"/>
      <c r="AA38" s="296"/>
      <c r="AB38" s="147"/>
      <c r="AC38" s="240">
        <f t="shared" si="17"/>
        <v>0</v>
      </c>
      <c r="AD38" s="146"/>
      <c r="AE38" s="240"/>
    </row>
    <row r="39" spans="1:31" s="148" customFormat="1" ht="10.5" customHeight="1" hidden="1" outlineLevel="1">
      <c r="A39" s="145" t="s">
        <v>108</v>
      </c>
      <c r="B39" s="324"/>
      <c r="C39" s="209"/>
      <c r="D39" s="291"/>
      <c r="E39" s="209"/>
      <c r="F39" s="291"/>
      <c r="G39" s="147"/>
      <c r="H39" s="240">
        <f t="shared" si="4"/>
        <v>0</v>
      </c>
      <c r="I39" s="291"/>
      <c r="J39" s="147"/>
      <c r="K39" s="291"/>
      <c r="L39" s="147"/>
      <c r="M39" s="291"/>
      <c r="N39" s="147"/>
      <c r="O39" s="240">
        <f t="shared" si="5"/>
        <v>0</v>
      </c>
      <c r="P39" s="291"/>
      <c r="Q39" s="147"/>
      <c r="R39" s="291"/>
      <c r="S39" s="147"/>
      <c r="T39" s="291"/>
      <c r="U39" s="147"/>
      <c r="V39" s="240">
        <f t="shared" si="6"/>
        <v>0</v>
      </c>
      <c r="W39" s="291"/>
      <c r="X39" s="147"/>
      <c r="Y39" s="291"/>
      <c r="Z39" s="147"/>
      <c r="AA39" s="291"/>
      <c r="AB39" s="147"/>
      <c r="AC39" s="240">
        <f t="shared" si="17"/>
        <v>0</v>
      </c>
      <c r="AD39" s="149"/>
      <c r="AE39" s="240"/>
    </row>
    <row r="40" spans="1:31" s="148" customFormat="1" ht="10.5" customHeight="1" hidden="1" outlineLevel="1">
      <c r="A40" s="145" t="s">
        <v>109</v>
      </c>
      <c r="B40" s="324"/>
      <c r="C40" s="209"/>
      <c r="D40" s="291"/>
      <c r="E40" s="209"/>
      <c r="F40" s="291"/>
      <c r="G40" s="147"/>
      <c r="H40" s="240">
        <f t="shared" si="4"/>
        <v>0</v>
      </c>
      <c r="I40" s="291"/>
      <c r="J40" s="147"/>
      <c r="K40" s="291"/>
      <c r="L40" s="147"/>
      <c r="M40" s="291"/>
      <c r="N40" s="147"/>
      <c r="O40" s="240">
        <f t="shared" si="5"/>
        <v>0</v>
      </c>
      <c r="P40" s="291"/>
      <c r="Q40" s="147"/>
      <c r="R40" s="291"/>
      <c r="S40" s="147"/>
      <c r="T40" s="291"/>
      <c r="U40" s="147"/>
      <c r="V40" s="240">
        <f t="shared" si="6"/>
        <v>0</v>
      </c>
      <c r="W40" s="291"/>
      <c r="X40" s="147"/>
      <c r="Y40" s="291"/>
      <c r="Z40" s="147"/>
      <c r="AA40" s="291"/>
      <c r="AB40" s="147"/>
      <c r="AC40" s="240">
        <f t="shared" si="17"/>
        <v>0</v>
      </c>
      <c r="AD40" s="149"/>
      <c r="AE40" s="240"/>
    </row>
    <row r="41" spans="1:31" s="148" customFormat="1" ht="10.5" customHeight="1" hidden="1" outlineLevel="1">
      <c r="A41" s="145" t="s">
        <v>110</v>
      </c>
      <c r="B41" s="324"/>
      <c r="C41" s="209"/>
      <c r="D41" s="291"/>
      <c r="E41" s="209"/>
      <c r="F41" s="291"/>
      <c r="G41" s="147"/>
      <c r="H41" s="240">
        <f t="shared" si="4"/>
        <v>0</v>
      </c>
      <c r="I41" s="291"/>
      <c r="J41" s="147"/>
      <c r="K41" s="291"/>
      <c r="L41" s="147"/>
      <c r="M41" s="291"/>
      <c r="N41" s="147"/>
      <c r="O41" s="240">
        <f t="shared" si="5"/>
        <v>0</v>
      </c>
      <c r="P41" s="291"/>
      <c r="Q41" s="147"/>
      <c r="R41" s="291"/>
      <c r="S41" s="147"/>
      <c r="T41" s="291"/>
      <c r="U41" s="147"/>
      <c r="V41" s="240">
        <f t="shared" si="6"/>
        <v>0</v>
      </c>
      <c r="W41" s="291"/>
      <c r="X41" s="147"/>
      <c r="Y41" s="291"/>
      <c r="Z41" s="147"/>
      <c r="AA41" s="291"/>
      <c r="AB41" s="147"/>
      <c r="AC41" s="240">
        <f t="shared" si="17"/>
        <v>0</v>
      </c>
      <c r="AD41" s="149"/>
      <c r="AE41" s="240"/>
    </row>
    <row r="42" spans="1:31" s="148" customFormat="1" ht="10.5" customHeight="1" hidden="1" outlineLevel="1">
      <c r="A42" s="145" t="s">
        <v>111</v>
      </c>
      <c r="B42" s="329"/>
      <c r="C42" s="209"/>
      <c r="D42" s="296"/>
      <c r="E42" s="209"/>
      <c r="F42" s="296"/>
      <c r="G42" s="147"/>
      <c r="H42" s="240">
        <f t="shared" si="4"/>
        <v>0</v>
      </c>
      <c r="I42" s="296"/>
      <c r="J42" s="147"/>
      <c r="K42" s="296"/>
      <c r="L42" s="147"/>
      <c r="M42" s="296"/>
      <c r="N42" s="147"/>
      <c r="O42" s="240">
        <f t="shared" si="5"/>
        <v>0</v>
      </c>
      <c r="P42" s="296"/>
      <c r="Q42" s="147"/>
      <c r="R42" s="296"/>
      <c r="S42" s="147"/>
      <c r="T42" s="296"/>
      <c r="U42" s="147"/>
      <c r="V42" s="240">
        <f t="shared" si="6"/>
        <v>0</v>
      </c>
      <c r="W42" s="296"/>
      <c r="X42" s="147"/>
      <c r="Y42" s="296"/>
      <c r="Z42" s="147"/>
      <c r="AA42" s="296"/>
      <c r="AB42" s="147"/>
      <c r="AC42" s="240">
        <f t="shared" si="17"/>
        <v>0</v>
      </c>
      <c r="AD42" s="146"/>
      <c r="AE42" s="240"/>
    </row>
    <row r="43" spans="1:31" s="148" customFormat="1" ht="10.5" customHeight="1" hidden="1" outlineLevel="1" thickBot="1">
      <c r="A43" s="150" t="s">
        <v>113</v>
      </c>
      <c r="B43" s="330"/>
      <c r="C43" s="210"/>
      <c r="D43" s="297"/>
      <c r="E43" s="210"/>
      <c r="F43" s="297"/>
      <c r="G43" s="151"/>
      <c r="H43" s="241">
        <f t="shared" si="4"/>
        <v>0</v>
      </c>
      <c r="I43" s="297"/>
      <c r="J43" s="151"/>
      <c r="K43" s="297"/>
      <c r="L43" s="151"/>
      <c r="M43" s="297"/>
      <c r="N43" s="151"/>
      <c r="O43" s="241">
        <f t="shared" si="5"/>
        <v>0</v>
      </c>
      <c r="P43" s="297"/>
      <c r="Q43" s="151"/>
      <c r="R43" s="297"/>
      <c r="S43" s="151"/>
      <c r="T43" s="297"/>
      <c r="U43" s="151"/>
      <c r="V43" s="241">
        <f t="shared" si="6"/>
        <v>0</v>
      </c>
      <c r="W43" s="297"/>
      <c r="X43" s="151"/>
      <c r="Y43" s="297"/>
      <c r="Z43" s="151"/>
      <c r="AA43" s="297"/>
      <c r="AB43" s="151"/>
      <c r="AC43" s="241">
        <f t="shared" si="17"/>
        <v>0</v>
      </c>
      <c r="AD43" s="152"/>
      <c r="AE43" s="241"/>
    </row>
    <row r="44" spans="1:31" s="144" customFormat="1" ht="12.75" customHeight="1" hidden="1" outlineLevel="1">
      <c r="A44" s="156" t="s">
        <v>35</v>
      </c>
      <c r="B44" s="324"/>
      <c r="C44" s="15"/>
      <c r="D44" s="291"/>
      <c r="E44" s="15"/>
      <c r="F44" s="291"/>
      <c r="G44" s="157"/>
      <c r="H44" s="235">
        <f t="shared" si="4"/>
        <v>0</v>
      </c>
      <c r="I44" s="291"/>
      <c r="J44" s="157"/>
      <c r="K44" s="291"/>
      <c r="L44" s="157"/>
      <c r="M44" s="291"/>
      <c r="N44" s="157"/>
      <c r="O44" s="235">
        <f t="shared" si="5"/>
        <v>0</v>
      </c>
      <c r="P44" s="291"/>
      <c r="Q44" s="157"/>
      <c r="R44" s="291"/>
      <c r="S44" s="157"/>
      <c r="T44" s="291"/>
      <c r="U44" s="157"/>
      <c r="V44" s="235">
        <f t="shared" si="6"/>
        <v>0</v>
      </c>
      <c r="W44" s="291"/>
      <c r="X44" s="157"/>
      <c r="Y44" s="291"/>
      <c r="Z44" s="157"/>
      <c r="AA44" s="291"/>
      <c r="AB44" s="157"/>
      <c r="AC44" s="235">
        <f t="shared" si="17"/>
        <v>0</v>
      </c>
      <c r="AD44" s="149"/>
      <c r="AE44" s="235"/>
    </row>
    <row r="45" spans="1:31" s="148" customFormat="1" ht="10.5" customHeight="1" hidden="1" outlineLevel="1">
      <c r="A45" s="145" t="s">
        <v>106</v>
      </c>
      <c r="B45" s="329"/>
      <c r="C45" s="209"/>
      <c r="D45" s="296"/>
      <c r="E45" s="209"/>
      <c r="F45" s="296"/>
      <c r="G45" s="147"/>
      <c r="H45" s="240">
        <f t="shared" si="4"/>
        <v>0</v>
      </c>
      <c r="I45" s="296"/>
      <c r="J45" s="147"/>
      <c r="K45" s="296"/>
      <c r="L45" s="147"/>
      <c r="M45" s="296"/>
      <c r="N45" s="147"/>
      <c r="O45" s="240">
        <f t="shared" si="5"/>
        <v>0</v>
      </c>
      <c r="P45" s="296"/>
      <c r="Q45" s="147"/>
      <c r="R45" s="296"/>
      <c r="S45" s="147"/>
      <c r="T45" s="296"/>
      <c r="U45" s="147"/>
      <c r="V45" s="240">
        <f t="shared" si="6"/>
        <v>0</v>
      </c>
      <c r="W45" s="296"/>
      <c r="X45" s="147"/>
      <c r="Y45" s="296"/>
      <c r="Z45" s="147"/>
      <c r="AA45" s="296"/>
      <c r="AB45" s="147"/>
      <c r="AC45" s="240">
        <f t="shared" si="17"/>
        <v>0</v>
      </c>
      <c r="AD45" s="146"/>
      <c r="AE45" s="240"/>
    </row>
    <row r="46" spans="1:31" s="148" customFormat="1" ht="10.5" customHeight="1" hidden="1" outlineLevel="1">
      <c r="A46" s="145" t="s">
        <v>112</v>
      </c>
      <c r="B46" s="329"/>
      <c r="C46" s="209"/>
      <c r="D46" s="296"/>
      <c r="E46" s="209"/>
      <c r="F46" s="296"/>
      <c r="G46" s="147"/>
      <c r="H46" s="240">
        <f t="shared" si="4"/>
        <v>0</v>
      </c>
      <c r="I46" s="296"/>
      <c r="J46" s="147"/>
      <c r="K46" s="296"/>
      <c r="L46" s="147"/>
      <c r="M46" s="296"/>
      <c r="N46" s="147"/>
      <c r="O46" s="240">
        <f t="shared" si="5"/>
        <v>0</v>
      </c>
      <c r="P46" s="296"/>
      <c r="Q46" s="147"/>
      <c r="R46" s="296"/>
      <c r="S46" s="147"/>
      <c r="T46" s="296"/>
      <c r="U46" s="147"/>
      <c r="V46" s="240">
        <f t="shared" si="6"/>
        <v>0</v>
      </c>
      <c r="W46" s="296"/>
      <c r="X46" s="147"/>
      <c r="Y46" s="296"/>
      <c r="Z46" s="147"/>
      <c r="AA46" s="296"/>
      <c r="AB46" s="147"/>
      <c r="AC46" s="240">
        <f t="shared" si="17"/>
        <v>0</v>
      </c>
      <c r="AD46" s="146"/>
      <c r="AE46" s="240"/>
    </row>
    <row r="47" spans="1:31" s="148" customFormat="1" ht="10.5" customHeight="1" hidden="1" outlineLevel="1">
      <c r="A47" s="145" t="s">
        <v>107</v>
      </c>
      <c r="B47" s="329"/>
      <c r="C47" s="209"/>
      <c r="D47" s="296"/>
      <c r="E47" s="209"/>
      <c r="F47" s="296"/>
      <c r="G47" s="147"/>
      <c r="H47" s="240">
        <f t="shared" si="4"/>
        <v>0</v>
      </c>
      <c r="I47" s="296"/>
      <c r="J47" s="147"/>
      <c r="K47" s="296"/>
      <c r="L47" s="147"/>
      <c r="M47" s="296"/>
      <c r="N47" s="147"/>
      <c r="O47" s="240">
        <f t="shared" si="5"/>
        <v>0</v>
      </c>
      <c r="P47" s="296"/>
      <c r="Q47" s="147"/>
      <c r="R47" s="296"/>
      <c r="S47" s="147"/>
      <c r="T47" s="296"/>
      <c r="U47" s="147"/>
      <c r="V47" s="240">
        <f t="shared" si="6"/>
        <v>0</v>
      </c>
      <c r="W47" s="296"/>
      <c r="X47" s="147"/>
      <c r="Y47" s="296"/>
      <c r="Z47" s="147"/>
      <c r="AA47" s="296"/>
      <c r="AB47" s="147"/>
      <c r="AC47" s="240">
        <f t="shared" si="17"/>
        <v>0</v>
      </c>
      <c r="AD47" s="146"/>
      <c r="AE47" s="240"/>
    </row>
    <row r="48" spans="1:31" s="148" customFormat="1" ht="10.5" customHeight="1" hidden="1" outlineLevel="1">
      <c r="A48" s="145" t="s">
        <v>108</v>
      </c>
      <c r="B48" s="324"/>
      <c r="C48" s="209"/>
      <c r="D48" s="291"/>
      <c r="E48" s="209"/>
      <c r="F48" s="291"/>
      <c r="G48" s="147"/>
      <c r="H48" s="240">
        <f t="shared" si="4"/>
        <v>0</v>
      </c>
      <c r="I48" s="291"/>
      <c r="J48" s="147"/>
      <c r="K48" s="291"/>
      <c r="L48" s="147"/>
      <c r="M48" s="291"/>
      <c r="N48" s="147"/>
      <c r="O48" s="240">
        <f t="shared" si="5"/>
        <v>0</v>
      </c>
      <c r="P48" s="291"/>
      <c r="Q48" s="147"/>
      <c r="R48" s="291"/>
      <c r="S48" s="147"/>
      <c r="T48" s="291"/>
      <c r="U48" s="147"/>
      <c r="V48" s="240">
        <f t="shared" si="6"/>
        <v>0</v>
      </c>
      <c r="W48" s="291"/>
      <c r="X48" s="147"/>
      <c r="Y48" s="291"/>
      <c r="Z48" s="147"/>
      <c r="AA48" s="291"/>
      <c r="AB48" s="147"/>
      <c r="AC48" s="240">
        <f t="shared" si="17"/>
        <v>0</v>
      </c>
      <c r="AD48" s="149"/>
      <c r="AE48" s="240"/>
    </row>
    <row r="49" spans="1:31" s="148" customFormat="1" ht="10.5" customHeight="1" hidden="1" outlineLevel="1">
      <c r="A49" s="145" t="s">
        <v>109</v>
      </c>
      <c r="B49" s="324"/>
      <c r="C49" s="209"/>
      <c r="D49" s="291"/>
      <c r="E49" s="209"/>
      <c r="F49" s="291"/>
      <c r="G49" s="147"/>
      <c r="H49" s="240">
        <f t="shared" si="4"/>
        <v>0</v>
      </c>
      <c r="I49" s="291"/>
      <c r="J49" s="147"/>
      <c r="K49" s="291"/>
      <c r="L49" s="147"/>
      <c r="M49" s="291"/>
      <c r="N49" s="147"/>
      <c r="O49" s="240">
        <f t="shared" si="5"/>
        <v>0</v>
      </c>
      <c r="P49" s="291"/>
      <c r="Q49" s="147"/>
      <c r="R49" s="291"/>
      <c r="S49" s="147"/>
      <c r="T49" s="291"/>
      <c r="U49" s="147"/>
      <c r="V49" s="240">
        <f t="shared" si="6"/>
        <v>0</v>
      </c>
      <c r="W49" s="291"/>
      <c r="X49" s="147"/>
      <c r="Y49" s="291"/>
      <c r="Z49" s="147"/>
      <c r="AA49" s="291"/>
      <c r="AB49" s="147"/>
      <c r="AC49" s="240">
        <f t="shared" si="17"/>
        <v>0</v>
      </c>
      <c r="AD49" s="149"/>
      <c r="AE49" s="240"/>
    </row>
    <row r="50" spans="1:31" s="148" customFormat="1" ht="10.5" customHeight="1" hidden="1" outlineLevel="1">
      <c r="A50" s="145" t="s">
        <v>110</v>
      </c>
      <c r="B50" s="324"/>
      <c r="C50" s="209"/>
      <c r="D50" s="291"/>
      <c r="E50" s="209"/>
      <c r="F50" s="291"/>
      <c r="G50" s="147"/>
      <c r="H50" s="240">
        <f t="shared" si="4"/>
        <v>0</v>
      </c>
      <c r="I50" s="291"/>
      <c r="J50" s="147"/>
      <c r="K50" s="291"/>
      <c r="L50" s="147"/>
      <c r="M50" s="291"/>
      <c r="N50" s="147"/>
      <c r="O50" s="240">
        <f t="shared" si="5"/>
        <v>0</v>
      </c>
      <c r="P50" s="291"/>
      <c r="Q50" s="147"/>
      <c r="R50" s="291"/>
      <c r="S50" s="147"/>
      <c r="T50" s="291"/>
      <c r="U50" s="147"/>
      <c r="V50" s="240">
        <f t="shared" si="6"/>
        <v>0</v>
      </c>
      <c r="W50" s="291"/>
      <c r="X50" s="147"/>
      <c r="Y50" s="291"/>
      <c r="Z50" s="147"/>
      <c r="AA50" s="291"/>
      <c r="AB50" s="147"/>
      <c r="AC50" s="240">
        <f t="shared" si="17"/>
        <v>0</v>
      </c>
      <c r="AD50" s="149"/>
      <c r="AE50" s="240"/>
    </row>
    <row r="51" spans="1:31" s="148" customFormat="1" ht="10.5" customHeight="1" hidden="1" outlineLevel="1">
      <c r="A51" s="145" t="s">
        <v>111</v>
      </c>
      <c r="B51" s="329"/>
      <c r="C51" s="209"/>
      <c r="D51" s="296"/>
      <c r="E51" s="209"/>
      <c r="F51" s="296"/>
      <c r="G51" s="147"/>
      <c r="H51" s="240">
        <f t="shared" si="4"/>
        <v>0</v>
      </c>
      <c r="I51" s="296"/>
      <c r="J51" s="147"/>
      <c r="K51" s="296"/>
      <c r="L51" s="147"/>
      <c r="M51" s="296"/>
      <c r="N51" s="147"/>
      <c r="O51" s="240">
        <f t="shared" si="5"/>
        <v>0</v>
      </c>
      <c r="P51" s="296"/>
      <c r="Q51" s="147"/>
      <c r="R51" s="296"/>
      <c r="S51" s="147"/>
      <c r="T51" s="296"/>
      <c r="U51" s="147"/>
      <c r="V51" s="240">
        <f t="shared" si="6"/>
        <v>0</v>
      </c>
      <c r="W51" s="296"/>
      <c r="X51" s="147"/>
      <c r="Y51" s="296"/>
      <c r="Z51" s="147"/>
      <c r="AA51" s="296"/>
      <c r="AB51" s="147"/>
      <c r="AC51" s="240">
        <f t="shared" si="17"/>
        <v>0</v>
      </c>
      <c r="AD51" s="146"/>
      <c r="AE51" s="240"/>
    </row>
    <row r="52" spans="1:31" s="148" customFormat="1" ht="10.5" customHeight="1" hidden="1" outlineLevel="1" thickBot="1">
      <c r="A52" s="150" t="s">
        <v>113</v>
      </c>
      <c r="B52" s="330"/>
      <c r="C52" s="210"/>
      <c r="D52" s="297"/>
      <c r="E52" s="210"/>
      <c r="F52" s="297"/>
      <c r="G52" s="151"/>
      <c r="H52" s="241">
        <f t="shared" si="4"/>
        <v>0</v>
      </c>
      <c r="I52" s="297"/>
      <c r="J52" s="151"/>
      <c r="K52" s="297"/>
      <c r="L52" s="151"/>
      <c r="M52" s="297"/>
      <c r="N52" s="151"/>
      <c r="O52" s="241">
        <f t="shared" si="5"/>
        <v>0</v>
      </c>
      <c r="P52" s="297"/>
      <c r="Q52" s="151"/>
      <c r="R52" s="297"/>
      <c r="S52" s="151"/>
      <c r="T52" s="297"/>
      <c r="U52" s="151"/>
      <c r="V52" s="241">
        <f t="shared" si="6"/>
        <v>0</v>
      </c>
      <c r="W52" s="297"/>
      <c r="X52" s="151"/>
      <c r="Y52" s="297"/>
      <c r="Z52" s="151"/>
      <c r="AA52" s="297"/>
      <c r="AB52" s="151"/>
      <c r="AC52" s="241">
        <f t="shared" si="17"/>
        <v>0</v>
      </c>
      <c r="AD52" s="152"/>
      <c r="AE52" s="241"/>
    </row>
    <row r="53" spans="1:31" s="144" customFormat="1" ht="12.75" customHeight="1" hidden="1" outlineLevel="1">
      <c r="A53" s="156" t="s">
        <v>36</v>
      </c>
      <c r="B53" s="324"/>
      <c r="C53" s="15"/>
      <c r="D53" s="291"/>
      <c r="E53" s="15"/>
      <c r="F53" s="291"/>
      <c r="G53" s="157"/>
      <c r="H53" s="235">
        <f t="shared" si="4"/>
        <v>0</v>
      </c>
      <c r="I53" s="291"/>
      <c r="J53" s="157"/>
      <c r="K53" s="291"/>
      <c r="L53" s="157"/>
      <c r="M53" s="291"/>
      <c r="N53" s="157"/>
      <c r="O53" s="235">
        <f t="shared" si="5"/>
        <v>0</v>
      </c>
      <c r="P53" s="291"/>
      <c r="Q53" s="157"/>
      <c r="R53" s="291"/>
      <c r="S53" s="157"/>
      <c r="T53" s="291"/>
      <c r="U53" s="157"/>
      <c r="V53" s="235">
        <f t="shared" si="6"/>
        <v>0</v>
      </c>
      <c r="W53" s="291"/>
      <c r="X53" s="157"/>
      <c r="Y53" s="291"/>
      <c r="Z53" s="157"/>
      <c r="AA53" s="291"/>
      <c r="AB53" s="157"/>
      <c r="AC53" s="235">
        <f t="shared" si="17"/>
        <v>0</v>
      </c>
      <c r="AD53" s="149"/>
      <c r="AE53" s="235"/>
    </row>
    <row r="54" spans="1:31" s="148" customFormat="1" ht="10.5" customHeight="1" hidden="1" outlineLevel="1">
      <c r="A54" s="145" t="s">
        <v>106</v>
      </c>
      <c r="B54" s="329"/>
      <c r="C54" s="209"/>
      <c r="D54" s="296"/>
      <c r="E54" s="209"/>
      <c r="F54" s="296"/>
      <c r="G54" s="147"/>
      <c r="H54" s="240">
        <f t="shared" si="4"/>
        <v>0</v>
      </c>
      <c r="I54" s="296"/>
      <c r="J54" s="147"/>
      <c r="K54" s="296"/>
      <c r="L54" s="147"/>
      <c r="M54" s="296"/>
      <c r="N54" s="147"/>
      <c r="O54" s="240">
        <f t="shared" si="5"/>
        <v>0</v>
      </c>
      <c r="P54" s="296"/>
      <c r="Q54" s="147"/>
      <c r="R54" s="296"/>
      <c r="S54" s="147"/>
      <c r="T54" s="296"/>
      <c r="U54" s="147"/>
      <c r="V54" s="240">
        <f t="shared" si="6"/>
        <v>0</v>
      </c>
      <c r="W54" s="296"/>
      <c r="X54" s="147"/>
      <c r="Y54" s="296"/>
      <c r="Z54" s="147"/>
      <c r="AA54" s="296"/>
      <c r="AB54" s="147"/>
      <c r="AC54" s="240">
        <f t="shared" si="17"/>
        <v>0</v>
      </c>
      <c r="AD54" s="146"/>
      <c r="AE54" s="240"/>
    </row>
    <row r="55" spans="1:31" s="148" customFormat="1" ht="10.5" customHeight="1" hidden="1" outlineLevel="1">
      <c r="A55" s="145" t="s">
        <v>112</v>
      </c>
      <c r="B55" s="329"/>
      <c r="C55" s="209"/>
      <c r="D55" s="296"/>
      <c r="E55" s="209"/>
      <c r="F55" s="296"/>
      <c r="G55" s="147"/>
      <c r="H55" s="240">
        <f t="shared" si="4"/>
        <v>0</v>
      </c>
      <c r="I55" s="296"/>
      <c r="J55" s="147"/>
      <c r="K55" s="296"/>
      <c r="L55" s="147"/>
      <c r="M55" s="296"/>
      <c r="N55" s="147"/>
      <c r="O55" s="240">
        <f t="shared" si="5"/>
        <v>0</v>
      </c>
      <c r="P55" s="296"/>
      <c r="Q55" s="147"/>
      <c r="R55" s="296"/>
      <c r="S55" s="147"/>
      <c r="T55" s="296"/>
      <c r="U55" s="147"/>
      <c r="V55" s="240">
        <f t="shared" si="6"/>
        <v>0</v>
      </c>
      <c r="W55" s="296"/>
      <c r="X55" s="147"/>
      <c r="Y55" s="296"/>
      <c r="Z55" s="147"/>
      <c r="AA55" s="296"/>
      <c r="AB55" s="147"/>
      <c r="AC55" s="240">
        <f t="shared" si="17"/>
        <v>0</v>
      </c>
      <c r="AD55" s="146"/>
      <c r="AE55" s="240"/>
    </row>
    <row r="56" spans="1:31" s="148" customFormat="1" ht="10.5" customHeight="1" hidden="1" outlineLevel="1">
      <c r="A56" s="145" t="s">
        <v>107</v>
      </c>
      <c r="B56" s="329"/>
      <c r="C56" s="209"/>
      <c r="D56" s="296"/>
      <c r="E56" s="209"/>
      <c r="F56" s="296"/>
      <c r="G56" s="147"/>
      <c r="H56" s="240">
        <f t="shared" si="4"/>
        <v>0</v>
      </c>
      <c r="I56" s="296"/>
      <c r="J56" s="147"/>
      <c r="K56" s="296"/>
      <c r="L56" s="147"/>
      <c r="M56" s="296"/>
      <c r="N56" s="147"/>
      <c r="O56" s="240">
        <f t="shared" si="5"/>
        <v>0</v>
      </c>
      <c r="P56" s="296"/>
      <c r="Q56" s="147"/>
      <c r="R56" s="296"/>
      <c r="S56" s="147"/>
      <c r="T56" s="296"/>
      <c r="U56" s="147"/>
      <c r="V56" s="240">
        <f t="shared" si="6"/>
        <v>0</v>
      </c>
      <c r="W56" s="296"/>
      <c r="X56" s="147"/>
      <c r="Y56" s="296"/>
      <c r="Z56" s="147"/>
      <c r="AA56" s="296"/>
      <c r="AB56" s="147"/>
      <c r="AC56" s="240">
        <f t="shared" si="17"/>
        <v>0</v>
      </c>
      <c r="AD56" s="146"/>
      <c r="AE56" s="240"/>
    </row>
    <row r="57" spans="1:31" s="148" customFormat="1" ht="10.5" customHeight="1" hidden="1" outlineLevel="1">
      <c r="A57" s="145" t="s">
        <v>108</v>
      </c>
      <c r="B57" s="324"/>
      <c r="C57" s="209"/>
      <c r="D57" s="291"/>
      <c r="E57" s="209"/>
      <c r="F57" s="291"/>
      <c r="G57" s="147"/>
      <c r="H57" s="240">
        <f t="shared" si="4"/>
        <v>0</v>
      </c>
      <c r="I57" s="291"/>
      <c r="J57" s="147"/>
      <c r="K57" s="291"/>
      <c r="L57" s="147"/>
      <c r="M57" s="291"/>
      <c r="N57" s="147"/>
      <c r="O57" s="240">
        <f t="shared" si="5"/>
        <v>0</v>
      </c>
      <c r="P57" s="291"/>
      <c r="Q57" s="147"/>
      <c r="R57" s="291"/>
      <c r="S57" s="147"/>
      <c r="T57" s="291"/>
      <c r="U57" s="147"/>
      <c r="V57" s="240">
        <f t="shared" si="6"/>
        <v>0</v>
      </c>
      <c r="W57" s="291"/>
      <c r="X57" s="147"/>
      <c r="Y57" s="291"/>
      <c r="Z57" s="147"/>
      <c r="AA57" s="291"/>
      <c r="AB57" s="147"/>
      <c r="AC57" s="240">
        <f t="shared" si="17"/>
        <v>0</v>
      </c>
      <c r="AD57" s="149"/>
      <c r="AE57" s="240"/>
    </row>
    <row r="58" spans="1:31" s="148" customFormat="1" ht="10.5" customHeight="1" hidden="1" outlineLevel="1">
      <c r="A58" s="145" t="s">
        <v>109</v>
      </c>
      <c r="B58" s="324"/>
      <c r="C58" s="209"/>
      <c r="D58" s="291"/>
      <c r="E58" s="209"/>
      <c r="F58" s="291"/>
      <c r="G58" s="147"/>
      <c r="H58" s="240">
        <f t="shared" si="4"/>
        <v>0</v>
      </c>
      <c r="I58" s="291"/>
      <c r="J58" s="147"/>
      <c r="K58" s="291"/>
      <c r="L58" s="147"/>
      <c r="M58" s="291"/>
      <c r="N58" s="147"/>
      <c r="O58" s="240">
        <f t="shared" si="5"/>
        <v>0</v>
      </c>
      <c r="P58" s="291"/>
      <c r="Q58" s="147"/>
      <c r="R58" s="291"/>
      <c r="S58" s="147"/>
      <c r="T58" s="291"/>
      <c r="U58" s="147"/>
      <c r="V58" s="240">
        <f t="shared" si="6"/>
        <v>0</v>
      </c>
      <c r="W58" s="291"/>
      <c r="X58" s="147"/>
      <c r="Y58" s="291"/>
      <c r="Z58" s="147"/>
      <c r="AA58" s="291"/>
      <c r="AB58" s="147"/>
      <c r="AC58" s="240">
        <f t="shared" si="17"/>
        <v>0</v>
      </c>
      <c r="AD58" s="149"/>
      <c r="AE58" s="240"/>
    </row>
    <row r="59" spans="1:31" s="148" customFormat="1" ht="10.5" customHeight="1" hidden="1" outlineLevel="1">
      <c r="A59" s="145" t="s">
        <v>110</v>
      </c>
      <c r="B59" s="324"/>
      <c r="C59" s="209"/>
      <c r="D59" s="291"/>
      <c r="E59" s="209"/>
      <c r="F59" s="291"/>
      <c r="G59" s="147"/>
      <c r="H59" s="240">
        <f t="shared" si="4"/>
        <v>0</v>
      </c>
      <c r="I59" s="291"/>
      <c r="J59" s="147"/>
      <c r="K59" s="291"/>
      <c r="L59" s="147"/>
      <c r="M59" s="291"/>
      <c r="N59" s="147"/>
      <c r="O59" s="240">
        <f t="shared" si="5"/>
        <v>0</v>
      </c>
      <c r="P59" s="291"/>
      <c r="Q59" s="147"/>
      <c r="R59" s="291"/>
      <c r="S59" s="147"/>
      <c r="T59" s="291"/>
      <c r="U59" s="147"/>
      <c r="V59" s="240">
        <f t="shared" si="6"/>
        <v>0</v>
      </c>
      <c r="W59" s="291"/>
      <c r="X59" s="147"/>
      <c r="Y59" s="291"/>
      <c r="Z59" s="147"/>
      <c r="AA59" s="291"/>
      <c r="AB59" s="147"/>
      <c r="AC59" s="240">
        <f t="shared" si="17"/>
        <v>0</v>
      </c>
      <c r="AD59" s="149"/>
      <c r="AE59" s="240"/>
    </row>
    <row r="60" spans="1:31" s="148" customFormat="1" ht="10.5" customHeight="1" hidden="1" outlineLevel="1">
      <c r="A60" s="145" t="s">
        <v>111</v>
      </c>
      <c r="B60" s="329"/>
      <c r="C60" s="209"/>
      <c r="D60" s="296"/>
      <c r="E60" s="209"/>
      <c r="F60" s="296"/>
      <c r="G60" s="147"/>
      <c r="H60" s="240">
        <f t="shared" si="4"/>
        <v>0</v>
      </c>
      <c r="I60" s="296"/>
      <c r="J60" s="147"/>
      <c r="K60" s="296"/>
      <c r="L60" s="147"/>
      <c r="M60" s="296"/>
      <c r="N60" s="147"/>
      <c r="O60" s="240">
        <f t="shared" si="5"/>
        <v>0</v>
      </c>
      <c r="P60" s="296"/>
      <c r="Q60" s="147"/>
      <c r="R60" s="296"/>
      <c r="S60" s="147"/>
      <c r="T60" s="296"/>
      <c r="U60" s="147"/>
      <c r="V60" s="240">
        <f t="shared" si="6"/>
        <v>0</v>
      </c>
      <c r="W60" s="296"/>
      <c r="X60" s="147"/>
      <c r="Y60" s="296"/>
      <c r="Z60" s="147"/>
      <c r="AA60" s="296"/>
      <c r="AB60" s="147"/>
      <c r="AC60" s="240">
        <f t="shared" si="17"/>
        <v>0</v>
      </c>
      <c r="AD60" s="146"/>
      <c r="AE60" s="240"/>
    </row>
    <row r="61" spans="1:31" s="148" customFormat="1" ht="10.5" customHeight="1" hidden="1" outlineLevel="1" thickBot="1">
      <c r="A61" s="150" t="s">
        <v>113</v>
      </c>
      <c r="B61" s="330"/>
      <c r="C61" s="210"/>
      <c r="D61" s="297"/>
      <c r="E61" s="210"/>
      <c r="F61" s="297"/>
      <c r="G61" s="151"/>
      <c r="H61" s="241">
        <f t="shared" si="4"/>
        <v>0</v>
      </c>
      <c r="I61" s="297"/>
      <c r="J61" s="151"/>
      <c r="K61" s="297"/>
      <c r="L61" s="151"/>
      <c r="M61" s="297"/>
      <c r="N61" s="151"/>
      <c r="O61" s="241">
        <f t="shared" si="5"/>
        <v>0</v>
      </c>
      <c r="P61" s="297"/>
      <c r="Q61" s="151"/>
      <c r="R61" s="297"/>
      <c r="S61" s="151"/>
      <c r="T61" s="297"/>
      <c r="U61" s="151"/>
      <c r="V61" s="241">
        <f t="shared" si="6"/>
        <v>0</v>
      </c>
      <c r="W61" s="297"/>
      <c r="X61" s="151"/>
      <c r="Y61" s="297"/>
      <c r="Z61" s="151"/>
      <c r="AA61" s="297"/>
      <c r="AB61" s="151"/>
      <c r="AC61" s="241">
        <f t="shared" si="17"/>
        <v>0</v>
      </c>
      <c r="AD61" s="152"/>
      <c r="AE61" s="241"/>
    </row>
    <row r="62" spans="1:31" s="144" customFormat="1" ht="12.75" customHeight="1" hidden="1" outlineLevel="1">
      <c r="A62" s="156" t="s">
        <v>37</v>
      </c>
      <c r="B62" s="324"/>
      <c r="C62" s="15"/>
      <c r="D62" s="291"/>
      <c r="E62" s="15"/>
      <c r="F62" s="291"/>
      <c r="G62" s="157"/>
      <c r="H62" s="235">
        <f t="shared" si="4"/>
        <v>0</v>
      </c>
      <c r="I62" s="291"/>
      <c r="J62" s="157"/>
      <c r="K62" s="291"/>
      <c r="L62" s="157"/>
      <c r="M62" s="291"/>
      <c r="N62" s="157"/>
      <c r="O62" s="235">
        <f t="shared" si="5"/>
        <v>0</v>
      </c>
      <c r="P62" s="291"/>
      <c r="Q62" s="157"/>
      <c r="R62" s="291"/>
      <c r="S62" s="157"/>
      <c r="T62" s="291"/>
      <c r="U62" s="157"/>
      <c r="V62" s="235">
        <f t="shared" si="6"/>
        <v>0</v>
      </c>
      <c r="W62" s="291"/>
      <c r="X62" s="157"/>
      <c r="Y62" s="291"/>
      <c r="Z62" s="157"/>
      <c r="AA62" s="291"/>
      <c r="AB62" s="157"/>
      <c r="AC62" s="235">
        <f t="shared" si="17"/>
        <v>0</v>
      </c>
      <c r="AD62" s="149"/>
      <c r="AE62" s="235"/>
    </row>
    <row r="63" spans="1:31" s="148" customFormat="1" ht="10.5" customHeight="1" hidden="1" outlineLevel="1">
      <c r="A63" s="145" t="s">
        <v>106</v>
      </c>
      <c r="B63" s="329"/>
      <c r="C63" s="209"/>
      <c r="D63" s="296"/>
      <c r="E63" s="209"/>
      <c r="F63" s="296"/>
      <c r="G63" s="147"/>
      <c r="H63" s="240">
        <f t="shared" si="4"/>
        <v>0</v>
      </c>
      <c r="I63" s="296"/>
      <c r="J63" s="147"/>
      <c r="K63" s="296"/>
      <c r="L63" s="147"/>
      <c r="M63" s="296"/>
      <c r="N63" s="147"/>
      <c r="O63" s="240">
        <f t="shared" si="5"/>
        <v>0</v>
      </c>
      <c r="P63" s="296"/>
      <c r="Q63" s="147"/>
      <c r="R63" s="296"/>
      <c r="S63" s="147"/>
      <c r="T63" s="296"/>
      <c r="U63" s="147"/>
      <c r="V63" s="240">
        <f t="shared" si="6"/>
        <v>0</v>
      </c>
      <c r="W63" s="296"/>
      <c r="X63" s="147"/>
      <c r="Y63" s="296"/>
      <c r="Z63" s="147"/>
      <c r="AA63" s="296"/>
      <c r="AB63" s="147"/>
      <c r="AC63" s="240">
        <f t="shared" si="17"/>
        <v>0</v>
      </c>
      <c r="AD63" s="146"/>
      <c r="AE63" s="240"/>
    </row>
    <row r="64" spans="1:31" s="148" customFormat="1" ht="10.5" customHeight="1" hidden="1" outlineLevel="1">
      <c r="A64" s="145" t="s">
        <v>112</v>
      </c>
      <c r="B64" s="329"/>
      <c r="C64" s="209"/>
      <c r="D64" s="296"/>
      <c r="E64" s="209"/>
      <c r="F64" s="296"/>
      <c r="G64" s="147"/>
      <c r="H64" s="240">
        <f t="shared" si="4"/>
        <v>0</v>
      </c>
      <c r="I64" s="296"/>
      <c r="J64" s="147"/>
      <c r="K64" s="296"/>
      <c r="L64" s="147"/>
      <c r="M64" s="296"/>
      <c r="N64" s="147"/>
      <c r="O64" s="240">
        <f t="shared" si="5"/>
        <v>0</v>
      </c>
      <c r="P64" s="296"/>
      <c r="Q64" s="147"/>
      <c r="R64" s="296"/>
      <c r="S64" s="147"/>
      <c r="T64" s="296"/>
      <c r="U64" s="147"/>
      <c r="V64" s="240">
        <f t="shared" si="6"/>
        <v>0</v>
      </c>
      <c r="W64" s="296"/>
      <c r="X64" s="147"/>
      <c r="Y64" s="296"/>
      <c r="Z64" s="147"/>
      <c r="AA64" s="296"/>
      <c r="AB64" s="147"/>
      <c r="AC64" s="240">
        <f t="shared" si="17"/>
        <v>0</v>
      </c>
      <c r="AD64" s="146"/>
      <c r="AE64" s="240"/>
    </row>
    <row r="65" spans="1:31" s="148" customFormat="1" ht="10.5" customHeight="1" hidden="1" outlineLevel="1">
      <c r="A65" s="145" t="s">
        <v>107</v>
      </c>
      <c r="B65" s="329"/>
      <c r="C65" s="209"/>
      <c r="D65" s="296"/>
      <c r="E65" s="209"/>
      <c r="F65" s="296"/>
      <c r="G65" s="147"/>
      <c r="H65" s="240">
        <f t="shared" si="4"/>
        <v>0</v>
      </c>
      <c r="I65" s="296"/>
      <c r="J65" s="147"/>
      <c r="K65" s="296"/>
      <c r="L65" s="147"/>
      <c r="M65" s="296"/>
      <c r="N65" s="147"/>
      <c r="O65" s="240">
        <f t="shared" si="5"/>
        <v>0</v>
      </c>
      <c r="P65" s="296"/>
      <c r="Q65" s="147"/>
      <c r="R65" s="296"/>
      <c r="S65" s="147"/>
      <c r="T65" s="296"/>
      <c r="U65" s="147"/>
      <c r="V65" s="240">
        <f t="shared" si="6"/>
        <v>0</v>
      </c>
      <c r="W65" s="296"/>
      <c r="X65" s="147"/>
      <c r="Y65" s="296"/>
      <c r="Z65" s="147"/>
      <c r="AA65" s="296"/>
      <c r="AB65" s="147"/>
      <c r="AC65" s="240">
        <f t="shared" si="17"/>
        <v>0</v>
      </c>
      <c r="AD65" s="146"/>
      <c r="AE65" s="240"/>
    </row>
    <row r="66" spans="1:31" s="148" customFormat="1" ht="10.5" customHeight="1" hidden="1" outlineLevel="1">
      <c r="A66" s="145" t="s">
        <v>108</v>
      </c>
      <c r="B66" s="324"/>
      <c r="C66" s="209"/>
      <c r="D66" s="291"/>
      <c r="E66" s="209"/>
      <c r="F66" s="291"/>
      <c r="G66" s="147"/>
      <c r="H66" s="240">
        <f aca="true" t="shared" si="18" ref="H66:H129">C66+E66+G66</f>
        <v>0</v>
      </c>
      <c r="I66" s="291"/>
      <c r="J66" s="147"/>
      <c r="K66" s="291"/>
      <c r="L66" s="147"/>
      <c r="M66" s="291"/>
      <c r="N66" s="147"/>
      <c r="O66" s="240">
        <f aca="true" t="shared" si="19" ref="O66:O129">J66+L66+N66</f>
        <v>0</v>
      </c>
      <c r="P66" s="291"/>
      <c r="Q66" s="147"/>
      <c r="R66" s="291"/>
      <c r="S66" s="147"/>
      <c r="T66" s="291"/>
      <c r="U66" s="147"/>
      <c r="V66" s="240">
        <f aca="true" t="shared" si="20" ref="V66:V129">Q66+S66+U66</f>
        <v>0</v>
      </c>
      <c r="W66" s="291"/>
      <c r="X66" s="147"/>
      <c r="Y66" s="291"/>
      <c r="Z66" s="147"/>
      <c r="AA66" s="291"/>
      <c r="AB66" s="147"/>
      <c r="AC66" s="240">
        <f t="shared" si="17"/>
        <v>0</v>
      </c>
      <c r="AD66" s="149"/>
      <c r="AE66" s="240"/>
    </row>
    <row r="67" spans="1:31" s="148" customFormat="1" ht="10.5" customHeight="1" hidden="1" outlineLevel="1">
      <c r="A67" s="145" t="s">
        <v>109</v>
      </c>
      <c r="B67" s="324"/>
      <c r="C67" s="209"/>
      <c r="D67" s="291"/>
      <c r="E67" s="209"/>
      <c r="F67" s="291"/>
      <c r="G67" s="147"/>
      <c r="H67" s="240">
        <f t="shared" si="18"/>
        <v>0</v>
      </c>
      <c r="I67" s="291"/>
      <c r="J67" s="147"/>
      <c r="K67" s="291"/>
      <c r="L67" s="147"/>
      <c r="M67" s="291"/>
      <c r="N67" s="147"/>
      <c r="O67" s="240">
        <f t="shared" si="19"/>
        <v>0</v>
      </c>
      <c r="P67" s="291"/>
      <c r="Q67" s="147"/>
      <c r="R67" s="291"/>
      <c r="S67" s="147"/>
      <c r="T67" s="291"/>
      <c r="U67" s="147"/>
      <c r="V67" s="240">
        <f t="shared" si="20"/>
        <v>0</v>
      </c>
      <c r="W67" s="291"/>
      <c r="X67" s="147"/>
      <c r="Y67" s="291"/>
      <c r="Z67" s="147"/>
      <c r="AA67" s="291"/>
      <c r="AB67" s="147"/>
      <c r="AC67" s="240">
        <f t="shared" si="17"/>
        <v>0</v>
      </c>
      <c r="AD67" s="149"/>
      <c r="AE67" s="240"/>
    </row>
    <row r="68" spans="1:31" s="148" customFormat="1" ht="10.5" customHeight="1" hidden="1" outlineLevel="1">
      <c r="A68" s="145" t="s">
        <v>110</v>
      </c>
      <c r="B68" s="324"/>
      <c r="C68" s="209"/>
      <c r="D68" s="291"/>
      <c r="E68" s="209"/>
      <c r="F68" s="291"/>
      <c r="G68" s="147"/>
      <c r="H68" s="240">
        <f t="shared" si="18"/>
        <v>0</v>
      </c>
      <c r="I68" s="291"/>
      <c r="J68" s="147"/>
      <c r="K68" s="291"/>
      <c r="L68" s="147"/>
      <c r="M68" s="291"/>
      <c r="N68" s="147"/>
      <c r="O68" s="240">
        <f t="shared" si="19"/>
        <v>0</v>
      </c>
      <c r="P68" s="291"/>
      <c r="Q68" s="147"/>
      <c r="R68" s="291"/>
      <c r="S68" s="147"/>
      <c r="T68" s="291"/>
      <c r="U68" s="147"/>
      <c r="V68" s="240">
        <f t="shared" si="20"/>
        <v>0</v>
      </c>
      <c r="W68" s="291"/>
      <c r="X68" s="147"/>
      <c r="Y68" s="291"/>
      <c r="Z68" s="147"/>
      <c r="AA68" s="291"/>
      <c r="AB68" s="147"/>
      <c r="AC68" s="240">
        <f t="shared" si="17"/>
        <v>0</v>
      </c>
      <c r="AD68" s="149"/>
      <c r="AE68" s="240"/>
    </row>
    <row r="69" spans="1:31" s="148" customFormat="1" ht="10.5" customHeight="1" hidden="1" outlineLevel="1">
      <c r="A69" s="145" t="s">
        <v>111</v>
      </c>
      <c r="B69" s="329"/>
      <c r="C69" s="209"/>
      <c r="D69" s="296"/>
      <c r="E69" s="209"/>
      <c r="F69" s="296"/>
      <c r="G69" s="147"/>
      <c r="H69" s="240">
        <f t="shared" si="18"/>
        <v>0</v>
      </c>
      <c r="I69" s="296"/>
      <c r="J69" s="147"/>
      <c r="K69" s="296"/>
      <c r="L69" s="147"/>
      <c r="M69" s="296"/>
      <c r="N69" s="147"/>
      <c r="O69" s="240">
        <f t="shared" si="19"/>
        <v>0</v>
      </c>
      <c r="P69" s="296"/>
      <c r="Q69" s="147"/>
      <c r="R69" s="296"/>
      <c r="S69" s="147"/>
      <c r="T69" s="296"/>
      <c r="U69" s="147"/>
      <c r="V69" s="240">
        <f t="shared" si="20"/>
        <v>0</v>
      </c>
      <c r="W69" s="296"/>
      <c r="X69" s="147"/>
      <c r="Y69" s="296"/>
      <c r="Z69" s="147"/>
      <c r="AA69" s="296"/>
      <c r="AB69" s="147"/>
      <c r="AC69" s="240">
        <f t="shared" si="17"/>
        <v>0</v>
      </c>
      <c r="AD69" s="146"/>
      <c r="AE69" s="240"/>
    </row>
    <row r="70" spans="1:31" s="148" customFormat="1" ht="10.5" customHeight="1" hidden="1" outlineLevel="1" thickBot="1">
      <c r="A70" s="150" t="s">
        <v>113</v>
      </c>
      <c r="B70" s="330"/>
      <c r="C70" s="210"/>
      <c r="D70" s="297"/>
      <c r="E70" s="210"/>
      <c r="F70" s="297"/>
      <c r="G70" s="151"/>
      <c r="H70" s="241">
        <f t="shared" si="18"/>
        <v>0</v>
      </c>
      <c r="I70" s="297"/>
      <c r="J70" s="151"/>
      <c r="K70" s="297"/>
      <c r="L70" s="151"/>
      <c r="M70" s="297"/>
      <c r="N70" s="151"/>
      <c r="O70" s="241">
        <f t="shared" si="19"/>
        <v>0</v>
      </c>
      <c r="P70" s="297"/>
      <c r="Q70" s="151"/>
      <c r="R70" s="297"/>
      <c r="S70" s="151"/>
      <c r="T70" s="297"/>
      <c r="U70" s="151"/>
      <c r="V70" s="241">
        <f t="shared" si="20"/>
        <v>0</v>
      </c>
      <c r="W70" s="297"/>
      <c r="X70" s="151"/>
      <c r="Y70" s="297"/>
      <c r="Z70" s="151"/>
      <c r="AA70" s="297"/>
      <c r="AB70" s="151"/>
      <c r="AC70" s="241">
        <f t="shared" si="17"/>
        <v>0</v>
      </c>
      <c r="AD70" s="152"/>
      <c r="AE70" s="241"/>
    </row>
    <row r="71" spans="1:31" s="144" customFormat="1" ht="12.75" customHeight="1" hidden="1" outlineLevel="1">
      <c r="A71" s="156" t="s">
        <v>38</v>
      </c>
      <c r="B71" s="324"/>
      <c r="C71" s="15"/>
      <c r="D71" s="291"/>
      <c r="E71" s="15"/>
      <c r="F71" s="291"/>
      <c r="G71" s="157"/>
      <c r="H71" s="235">
        <f t="shared" si="18"/>
        <v>0</v>
      </c>
      <c r="I71" s="291"/>
      <c r="J71" s="157"/>
      <c r="K71" s="291"/>
      <c r="L71" s="157"/>
      <c r="M71" s="291"/>
      <c r="N71" s="157"/>
      <c r="O71" s="235">
        <f t="shared" si="19"/>
        <v>0</v>
      </c>
      <c r="P71" s="291"/>
      <c r="Q71" s="157"/>
      <c r="R71" s="291"/>
      <c r="S71" s="157"/>
      <c r="T71" s="291"/>
      <c r="U71" s="157"/>
      <c r="V71" s="235">
        <f t="shared" si="20"/>
        <v>0</v>
      </c>
      <c r="W71" s="291"/>
      <c r="X71" s="157"/>
      <c r="Y71" s="291"/>
      <c r="Z71" s="157"/>
      <c r="AA71" s="291"/>
      <c r="AB71" s="157"/>
      <c r="AC71" s="235">
        <f t="shared" si="17"/>
        <v>0</v>
      </c>
      <c r="AD71" s="149"/>
      <c r="AE71" s="235"/>
    </row>
    <row r="72" spans="1:31" s="148" customFormat="1" ht="10.5" customHeight="1" hidden="1" outlineLevel="1">
      <c r="A72" s="145" t="s">
        <v>106</v>
      </c>
      <c r="B72" s="329"/>
      <c r="C72" s="209"/>
      <c r="D72" s="296"/>
      <c r="E72" s="209"/>
      <c r="F72" s="296"/>
      <c r="G72" s="147"/>
      <c r="H72" s="240">
        <f t="shared" si="18"/>
        <v>0</v>
      </c>
      <c r="I72" s="296"/>
      <c r="J72" s="147"/>
      <c r="K72" s="296"/>
      <c r="L72" s="147"/>
      <c r="M72" s="296"/>
      <c r="N72" s="147"/>
      <c r="O72" s="240">
        <f t="shared" si="19"/>
        <v>0</v>
      </c>
      <c r="P72" s="296"/>
      <c r="Q72" s="147"/>
      <c r="R72" s="296"/>
      <c r="S72" s="147"/>
      <c r="T72" s="296"/>
      <c r="U72" s="147"/>
      <c r="V72" s="240">
        <f t="shared" si="20"/>
        <v>0</v>
      </c>
      <c r="W72" s="296"/>
      <c r="X72" s="147"/>
      <c r="Y72" s="296"/>
      <c r="Z72" s="147"/>
      <c r="AA72" s="296"/>
      <c r="AB72" s="147"/>
      <c r="AC72" s="240">
        <f t="shared" si="17"/>
        <v>0</v>
      </c>
      <c r="AD72" s="146"/>
      <c r="AE72" s="240"/>
    </row>
    <row r="73" spans="1:31" s="148" customFormat="1" ht="10.5" customHeight="1" hidden="1" outlineLevel="1">
      <c r="A73" s="145" t="s">
        <v>112</v>
      </c>
      <c r="B73" s="329"/>
      <c r="C73" s="209"/>
      <c r="D73" s="296"/>
      <c r="E73" s="209"/>
      <c r="F73" s="296"/>
      <c r="G73" s="147"/>
      <c r="H73" s="240">
        <f t="shared" si="18"/>
        <v>0</v>
      </c>
      <c r="I73" s="296"/>
      <c r="J73" s="147"/>
      <c r="K73" s="296"/>
      <c r="L73" s="147"/>
      <c r="M73" s="296"/>
      <c r="N73" s="147"/>
      <c r="O73" s="240">
        <f t="shared" si="19"/>
        <v>0</v>
      </c>
      <c r="P73" s="296"/>
      <c r="Q73" s="147"/>
      <c r="R73" s="296"/>
      <c r="S73" s="147"/>
      <c r="T73" s="296"/>
      <c r="U73" s="147"/>
      <c r="V73" s="240">
        <f t="shared" si="20"/>
        <v>0</v>
      </c>
      <c r="W73" s="296"/>
      <c r="X73" s="147"/>
      <c r="Y73" s="296"/>
      <c r="Z73" s="147"/>
      <c r="AA73" s="296"/>
      <c r="AB73" s="147"/>
      <c r="AC73" s="240">
        <f t="shared" si="17"/>
        <v>0</v>
      </c>
      <c r="AD73" s="146"/>
      <c r="AE73" s="240"/>
    </row>
    <row r="74" spans="1:31" s="148" customFormat="1" ht="10.5" customHeight="1" hidden="1" outlineLevel="1">
      <c r="A74" s="145" t="s">
        <v>107</v>
      </c>
      <c r="B74" s="329"/>
      <c r="C74" s="209"/>
      <c r="D74" s="296"/>
      <c r="E74" s="209"/>
      <c r="F74" s="296"/>
      <c r="G74" s="147"/>
      <c r="H74" s="240">
        <f t="shared" si="18"/>
        <v>0</v>
      </c>
      <c r="I74" s="296"/>
      <c r="J74" s="147"/>
      <c r="K74" s="296"/>
      <c r="L74" s="147"/>
      <c r="M74" s="296"/>
      <c r="N74" s="147"/>
      <c r="O74" s="240">
        <f t="shared" si="19"/>
        <v>0</v>
      </c>
      <c r="P74" s="296"/>
      <c r="Q74" s="147"/>
      <c r="R74" s="296"/>
      <c r="S74" s="147"/>
      <c r="T74" s="296"/>
      <c r="U74" s="147"/>
      <c r="V74" s="240">
        <f t="shared" si="20"/>
        <v>0</v>
      </c>
      <c r="W74" s="296"/>
      <c r="X74" s="147"/>
      <c r="Y74" s="296"/>
      <c r="Z74" s="147"/>
      <c r="AA74" s="296"/>
      <c r="AB74" s="147"/>
      <c r="AC74" s="240">
        <f t="shared" si="17"/>
        <v>0</v>
      </c>
      <c r="AD74" s="146"/>
      <c r="AE74" s="240"/>
    </row>
    <row r="75" spans="1:31" s="148" customFormat="1" ht="10.5" customHeight="1" hidden="1" outlineLevel="1">
      <c r="A75" s="145" t="s">
        <v>108</v>
      </c>
      <c r="B75" s="324"/>
      <c r="C75" s="209"/>
      <c r="D75" s="291"/>
      <c r="E75" s="209"/>
      <c r="F75" s="291"/>
      <c r="G75" s="147"/>
      <c r="H75" s="240">
        <f t="shared" si="18"/>
        <v>0</v>
      </c>
      <c r="I75" s="291"/>
      <c r="J75" s="147"/>
      <c r="K75" s="291"/>
      <c r="L75" s="147"/>
      <c r="M75" s="291"/>
      <c r="N75" s="147"/>
      <c r="O75" s="240">
        <f t="shared" si="19"/>
        <v>0</v>
      </c>
      <c r="P75" s="291"/>
      <c r="Q75" s="147"/>
      <c r="R75" s="291"/>
      <c r="S75" s="147"/>
      <c r="T75" s="291"/>
      <c r="U75" s="147"/>
      <c r="V75" s="240">
        <f t="shared" si="20"/>
        <v>0</v>
      </c>
      <c r="W75" s="291"/>
      <c r="X75" s="147"/>
      <c r="Y75" s="291"/>
      <c r="Z75" s="147"/>
      <c r="AA75" s="291"/>
      <c r="AB75" s="147"/>
      <c r="AC75" s="240">
        <f t="shared" si="17"/>
        <v>0</v>
      </c>
      <c r="AD75" s="149"/>
      <c r="AE75" s="240"/>
    </row>
    <row r="76" spans="1:31" s="148" customFormat="1" ht="10.5" customHeight="1" hidden="1" outlineLevel="1">
      <c r="A76" s="145" t="s">
        <v>109</v>
      </c>
      <c r="B76" s="324"/>
      <c r="C76" s="209"/>
      <c r="D76" s="291"/>
      <c r="E76" s="209"/>
      <c r="F76" s="291"/>
      <c r="G76" s="147"/>
      <c r="H76" s="240">
        <f t="shared" si="18"/>
        <v>0</v>
      </c>
      <c r="I76" s="291"/>
      <c r="J76" s="147"/>
      <c r="K76" s="291"/>
      <c r="L76" s="147"/>
      <c r="M76" s="291"/>
      <c r="N76" s="147"/>
      <c r="O76" s="240">
        <f t="shared" si="19"/>
        <v>0</v>
      </c>
      <c r="P76" s="291"/>
      <c r="Q76" s="147"/>
      <c r="R76" s="291"/>
      <c r="S76" s="147"/>
      <c r="T76" s="291"/>
      <c r="U76" s="147"/>
      <c r="V76" s="240">
        <f t="shared" si="20"/>
        <v>0</v>
      </c>
      <c r="W76" s="291"/>
      <c r="X76" s="147"/>
      <c r="Y76" s="291"/>
      <c r="Z76" s="147"/>
      <c r="AA76" s="291"/>
      <c r="AB76" s="147"/>
      <c r="AC76" s="240">
        <f t="shared" si="17"/>
        <v>0</v>
      </c>
      <c r="AD76" s="149"/>
      <c r="AE76" s="240"/>
    </row>
    <row r="77" spans="1:31" s="148" customFormat="1" ht="10.5" customHeight="1" hidden="1" outlineLevel="1">
      <c r="A77" s="145" t="s">
        <v>110</v>
      </c>
      <c r="B77" s="324"/>
      <c r="C77" s="209"/>
      <c r="D77" s="291"/>
      <c r="E77" s="209"/>
      <c r="F77" s="291"/>
      <c r="G77" s="147"/>
      <c r="H77" s="240">
        <f t="shared" si="18"/>
        <v>0</v>
      </c>
      <c r="I77" s="291"/>
      <c r="J77" s="147"/>
      <c r="K77" s="291"/>
      <c r="L77" s="147"/>
      <c r="M77" s="291"/>
      <c r="N77" s="147"/>
      <c r="O77" s="240">
        <f t="shared" si="19"/>
        <v>0</v>
      </c>
      <c r="P77" s="291"/>
      <c r="Q77" s="147"/>
      <c r="R77" s="291"/>
      <c r="S77" s="147"/>
      <c r="T77" s="291"/>
      <c r="U77" s="147"/>
      <c r="V77" s="240">
        <f t="shared" si="20"/>
        <v>0</v>
      </c>
      <c r="W77" s="291"/>
      <c r="X77" s="147"/>
      <c r="Y77" s="291"/>
      <c r="Z77" s="147"/>
      <c r="AA77" s="291"/>
      <c r="AB77" s="147"/>
      <c r="AC77" s="240">
        <f t="shared" si="17"/>
        <v>0</v>
      </c>
      <c r="AD77" s="149"/>
      <c r="AE77" s="240"/>
    </row>
    <row r="78" spans="1:31" s="148" customFormat="1" ht="10.5" customHeight="1" hidden="1" outlineLevel="1">
      <c r="A78" s="145" t="s">
        <v>111</v>
      </c>
      <c r="B78" s="329"/>
      <c r="C78" s="209"/>
      <c r="D78" s="296"/>
      <c r="E78" s="209"/>
      <c r="F78" s="296"/>
      <c r="G78" s="147"/>
      <c r="H78" s="240">
        <f t="shared" si="18"/>
        <v>0</v>
      </c>
      <c r="I78" s="296"/>
      <c r="J78" s="147"/>
      <c r="K78" s="296"/>
      <c r="L78" s="147"/>
      <c r="M78" s="296"/>
      <c r="N78" s="147"/>
      <c r="O78" s="240">
        <f t="shared" si="19"/>
        <v>0</v>
      </c>
      <c r="P78" s="296"/>
      <c r="Q78" s="147"/>
      <c r="R78" s="296"/>
      <c r="S78" s="147"/>
      <c r="T78" s="296"/>
      <c r="U78" s="147"/>
      <c r="V78" s="240">
        <f t="shared" si="20"/>
        <v>0</v>
      </c>
      <c r="W78" s="296"/>
      <c r="X78" s="147"/>
      <c r="Y78" s="296"/>
      <c r="Z78" s="147"/>
      <c r="AA78" s="296"/>
      <c r="AB78" s="147"/>
      <c r="AC78" s="240">
        <f t="shared" si="17"/>
        <v>0</v>
      </c>
      <c r="AD78" s="146"/>
      <c r="AE78" s="240"/>
    </row>
    <row r="79" spans="1:31" s="148" customFormat="1" ht="10.5" customHeight="1" hidden="1" outlineLevel="1" thickBot="1">
      <c r="A79" s="150" t="s">
        <v>113</v>
      </c>
      <c r="B79" s="330"/>
      <c r="C79" s="210"/>
      <c r="D79" s="297"/>
      <c r="E79" s="210"/>
      <c r="F79" s="297"/>
      <c r="G79" s="151"/>
      <c r="H79" s="241">
        <f t="shared" si="18"/>
        <v>0</v>
      </c>
      <c r="I79" s="297"/>
      <c r="J79" s="151"/>
      <c r="K79" s="297"/>
      <c r="L79" s="151"/>
      <c r="M79" s="297"/>
      <c r="N79" s="151"/>
      <c r="O79" s="241">
        <f t="shared" si="19"/>
        <v>0</v>
      </c>
      <c r="P79" s="297"/>
      <c r="Q79" s="151"/>
      <c r="R79" s="297"/>
      <c r="S79" s="151"/>
      <c r="T79" s="297"/>
      <c r="U79" s="151"/>
      <c r="V79" s="241">
        <f t="shared" si="20"/>
        <v>0</v>
      </c>
      <c r="W79" s="297"/>
      <c r="X79" s="151"/>
      <c r="Y79" s="297"/>
      <c r="Z79" s="151"/>
      <c r="AA79" s="297"/>
      <c r="AB79" s="151"/>
      <c r="AC79" s="241">
        <f t="shared" si="17"/>
        <v>0</v>
      </c>
      <c r="AD79" s="152"/>
      <c r="AE79" s="241"/>
    </row>
    <row r="80" spans="1:31" s="161" customFormat="1" ht="15" hidden="1" outlineLevel="1">
      <c r="A80" s="158" t="s">
        <v>117</v>
      </c>
      <c r="B80" s="325"/>
      <c r="C80" s="38"/>
      <c r="D80" s="292"/>
      <c r="E80" s="38"/>
      <c r="F80" s="292"/>
      <c r="G80" s="159"/>
      <c r="H80" s="236">
        <f t="shared" si="18"/>
        <v>0</v>
      </c>
      <c r="I80" s="292"/>
      <c r="J80" s="159"/>
      <c r="K80" s="292"/>
      <c r="L80" s="159"/>
      <c r="M80" s="292"/>
      <c r="N80" s="159"/>
      <c r="O80" s="236">
        <f t="shared" si="19"/>
        <v>0</v>
      </c>
      <c r="P80" s="292"/>
      <c r="Q80" s="159"/>
      <c r="R80" s="292"/>
      <c r="S80" s="159">
        <f>S26+S35+S44+S53+S62+S71</f>
        <v>0</v>
      </c>
      <c r="T80" s="292"/>
      <c r="U80" s="159">
        <f>U26+U35+U44+U53+U62+U71</f>
        <v>0</v>
      </c>
      <c r="V80" s="236">
        <f t="shared" si="20"/>
        <v>0</v>
      </c>
      <c r="W80" s="292"/>
      <c r="X80" s="159"/>
      <c r="Y80" s="292"/>
      <c r="Z80" s="159">
        <f>Z26+Z35+Z44+Z53+Z62+Z71</f>
        <v>0</v>
      </c>
      <c r="AA80" s="292"/>
      <c r="AB80" s="159">
        <f>AB26+AB35+AB44+AB53+AB62+AB71</f>
        <v>0</v>
      </c>
      <c r="AC80" s="236">
        <f t="shared" si="17"/>
        <v>0</v>
      </c>
      <c r="AD80" s="160"/>
      <c r="AE80" s="236"/>
    </row>
    <row r="81" spans="1:31" s="144" customFormat="1" ht="14.25" customHeight="1" hidden="1" outlineLevel="1">
      <c r="A81" s="156" t="s">
        <v>27</v>
      </c>
      <c r="B81" s="324"/>
      <c r="C81" s="15"/>
      <c r="D81" s="291"/>
      <c r="E81" s="15"/>
      <c r="F81" s="291"/>
      <c r="G81" s="157"/>
      <c r="H81" s="235">
        <f t="shared" si="18"/>
        <v>0</v>
      </c>
      <c r="I81" s="291"/>
      <c r="J81" s="157"/>
      <c r="K81" s="291"/>
      <c r="L81" s="157"/>
      <c r="M81" s="291"/>
      <c r="N81" s="157"/>
      <c r="O81" s="235">
        <f t="shared" si="19"/>
        <v>0</v>
      </c>
      <c r="P81" s="291"/>
      <c r="Q81" s="157"/>
      <c r="R81" s="291"/>
      <c r="S81" s="157"/>
      <c r="T81" s="291"/>
      <c r="U81" s="157"/>
      <c r="V81" s="235">
        <f t="shared" si="20"/>
        <v>0</v>
      </c>
      <c r="W81" s="291"/>
      <c r="X81" s="157"/>
      <c r="Y81" s="291"/>
      <c r="Z81" s="157"/>
      <c r="AA81" s="291"/>
      <c r="AB81" s="157"/>
      <c r="AC81" s="235">
        <f t="shared" si="17"/>
        <v>0</v>
      </c>
      <c r="AD81" s="149"/>
      <c r="AE81" s="235"/>
    </row>
    <row r="82" spans="1:31" s="148" customFormat="1" ht="10.5" customHeight="1" hidden="1" outlineLevel="1">
      <c r="A82" s="145" t="s">
        <v>106</v>
      </c>
      <c r="B82" s="329"/>
      <c r="C82" s="209"/>
      <c r="D82" s="296"/>
      <c r="E82" s="209"/>
      <c r="F82" s="296"/>
      <c r="G82" s="147"/>
      <c r="H82" s="240">
        <f t="shared" si="18"/>
        <v>0</v>
      </c>
      <c r="I82" s="296"/>
      <c r="J82" s="147"/>
      <c r="K82" s="296"/>
      <c r="L82" s="147"/>
      <c r="M82" s="296"/>
      <c r="N82" s="147"/>
      <c r="O82" s="240">
        <f t="shared" si="19"/>
        <v>0</v>
      </c>
      <c r="P82" s="296"/>
      <c r="Q82" s="147"/>
      <c r="R82" s="296"/>
      <c r="S82" s="147"/>
      <c r="T82" s="296"/>
      <c r="U82" s="147"/>
      <c r="V82" s="240">
        <f t="shared" si="20"/>
        <v>0</v>
      </c>
      <c r="W82" s="296"/>
      <c r="X82" s="147"/>
      <c r="Y82" s="296"/>
      <c r="Z82" s="147"/>
      <c r="AA82" s="296"/>
      <c r="AB82" s="147"/>
      <c r="AC82" s="240">
        <f t="shared" si="17"/>
        <v>0</v>
      </c>
      <c r="AD82" s="146"/>
      <c r="AE82" s="240"/>
    </row>
    <row r="83" spans="1:31" s="148" customFormat="1" ht="10.5" customHeight="1" hidden="1" outlineLevel="1">
      <c r="A83" s="145" t="s">
        <v>112</v>
      </c>
      <c r="B83" s="329"/>
      <c r="C83" s="209"/>
      <c r="D83" s="296"/>
      <c r="E83" s="209"/>
      <c r="F83" s="296"/>
      <c r="G83" s="147"/>
      <c r="H83" s="240">
        <f t="shared" si="18"/>
        <v>0</v>
      </c>
      <c r="I83" s="296"/>
      <c r="J83" s="147"/>
      <c r="K83" s="296"/>
      <c r="L83" s="147"/>
      <c r="M83" s="296"/>
      <c r="N83" s="147"/>
      <c r="O83" s="240">
        <f t="shared" si="19"/>
        <v>0</v>
      </c>
      <c r="P83" s="296"/>
      <c r="Q83" s="147"/>
      <c r="R83" s="296"/>
      <c r="S83" s="147"/>
      <c r="T83" s="296"/>
      <c r="U83" s="147"/>
      <c r="V83" s="240">
        <f t="shared" si="20"/>
        <v>0</v>
      </c>
      <c r="W83" s="296"/>
      <c r="X83" s="147"/>
      <c r="Y83" s="296"/>
      <c r="Z83" s="147"/>
      <c r="AA83" s="296"/>
      <c r="AB83" s="147"/>
      <c r="AC83" s="240">
        <f t="shared" si="17"/>
        <v>0</v>
      </c>
      <c r="AD83" s="146"/>
      <c r="AE83" s="240"/>
    </row>
    <row r="84" spans="1:31" s="148" customFormat="1" ht="10.5" customHeight="1" hidden="1" outlineLevel="1">
      <c r="A84" s="145" t="s">
        <v>107</v>
      </c>
      <c r="B84" s="329"/>
      <c r="C84" s="209"/>
      <c r="D84" s="296"/>
      <c r="E84" s="209"/>
      <c r="F84" s="296"/>
      <c r="G84" s="147"/>
      <c r="H84" s="240">
        <f t="shared" si="18"/>
        <v>0</v>
      </c>
      <c r="I84" s="296"/>
      <c r="J84" s="147"/>
      <c r="K84" s="296"/>
      <c r="L84" s="147"/>
      <c r="M84" s="296"/>
      <c r="N84" s="147"/>
      <c r="O84" s="240">
        <f t="shared" si="19"/>
        <v>0</v>
      </c>
      <c r="P84" s="296"/>
      <c r="Q84" s="147"/>
      <c r="R84" s="296"/>
      <c r="S84" s="147"/>
      <c r="T84" s="296"/>
      <c r="U84" s="147"/>
      <c r="V84" s="240">
        <f t="shared" si="20"/>
        <v>0</v>
      </c>
      <c r="W84" s="296"/>
      <c r="X84" s="147"/>
      <c r="Y84" s="296"/>
      <c r="Z84" s="147"/>
      <c r="AA84" s="296"/>
      <c r="AB84" s="147"/>
      <c r="AC84" s="240">
        <f t="shared" si="17"/>
        <v>0</v>
      </c>
      <c r="AD84" s="146"/>
      <c r="AE84" s="240"/>
    </row>
    <row r="85" spans="1:31" s="148" customFormat="1" ht="10.5" customHeight="1" hidden="1" outlineLevel="1">
      <c r="A85" s="145" t="s">
        <v>108</v>
      </c>
      <c r="B85" s="324"/>
      <c r="C85" s="209"/>
      <c r="D85" s="291"/>
      <c r="E85" s="209"/>
      <c r="F85" s="291"/>
      <c r="G85" s="147"/>
      <c r="H85" s="240">
        <f t="shared" si="18"/>
        <v>0</v>
      </c>
      <c r="I85" s="291"/>
      <c r="J85" s="147"/>
      <c r="K85" s="291"/>
      <c r="L85" s="147"/>
      <c r="M85" s="291"/>
      <c r="N85" s="147"/>
      <c r="O85" s="240">
        <f t="shared" si="19"/>
        <v>0</v>
      </c>
      <c r="P85" s="291"/>
      <c r="Q85" s="147"/>
      <c r="R85" s="291"/>
      <c r="S85" s="147"/>
      <c r="T85" s="291"/>
      <c r="U85" s="147"/>
      <c r="V85" s="240">
        <f t="shared" si="20"/>
        <v>0</v>
      </c>
      <c r="W85" s="291"/>
      <c r="X85" s="147"/>
      <c r="Y85" s="291"/>
      <c r="Z85" s="147"/>
      <c r="AA85" s="291"/>
      <c r="AB85" s="147"/>
      <c r="AC85" s="240">
        <f t="shared" si="17"/>
        <v>0</v>
      </c>
      <c r="AD85" s="149"/>
      <c r="AE85" s="240"/>
    </row>
    <row r="86" spans="1:31" s="148" customFormat="1" ht="10.5" customHeight="1" hidden="1" outlineLevel="1">
      <c r="A86" s="145" t="s">
        <v>109</v>
      </c>
      <c r="B86" s="324"/>
      <c r="C86" s="209"/>
      <c r="D86" s="291"/>
      <c r="E86" s="209"/>
      <c r="F86" s="291"/>
      <c r="G86" s="147"/>
      <c r="H86" s="240">
        <f t="shared" si="18"/>
        <v>0</v>
      </c>
      <c r="I86" s="291"/>
      <c r="J86" s="147"/>
      <c r="K86" s="291"/>
      <c r="L86" s="147"/>
      <c r="M86" s="291"/>
      <c r="N86" s="147"/>
      <c r="O86" s="240">
        <f t="shared" si="19"/>
        <v>0</v>
      </c>
      <c r="P86" s="291"/>
      <c r="Q86" s="147"/>
      <c r="R86" s="291"/>
      <c r="S86" s="147"/>
      <c r="T86" s="291"/>
      <c r="U86" s="147"/>
      <c r="V86" s="240">
        <f t="shared" si="20"/>
        <v>0</v>
      </c>
      <c r="W86" s="291"/>
      <c r="X86" s="147"/>
      <c r="Y86" s="291"/>
      <c r="Z86" s="147"/>
      <c r="AA86" s="291"/>
      <c r="AB86" s="147"/>
      <c r="AC86" s="240">
        <f t="shared" si="17"/>
        <v>0</v>
      </c>
      <c r="AD86" s="149"/>
      <c r="AE86" s="240"/>
    </row>
    <row r="87" spans="1:31" s="148" customFormat="1" ht="10.5" customHeight="1" hidden="1" outlineLevel="1">
      <c r="A87" s="145" t="s">
        <v>110</v>
      </c>
      <c r="B87" s="324"/>
      <c r="C87" s="209"/>
      <c r="D87" s="291"/>
      <c r="E87" s="209"/>
      <c r="F87" s="291"/>
      <c r="G87" s="147"/>
      <c r="H87" s="240">
        <f t="shared" si="18"/>
        <v>0</v>
      </c>
      <c r="I87" s="291"/>
      <c r="J87" s="147"/>
      <c r="K87" s="291"/>
      <c r="L87" s="147"/>
      <c r="M87" s="291"/>
      <c r="N87" s="147"/>
      <c r="O87" s="240">
        <f t="shared" si="19"/>
        <v>0</v>
      </c>
      <c r="P87" s="291"/>
      <c r="Q87" s="147"/>
      <c r="R87" s="291"/>
      <c r="S87" s="147"/>
      <c r="T87" s="291"/>
      <c r="U87" s="147"/>
      <c r="V87" s="240">
        <f t="shared" si="20"/>
        <v>0</v>
      </c>
      <c r="W87" s="291"/>
      <c r="X87" s="147"/>
      <c r="Y87" s="291"/>
      <c r="Z87" s="147"/>
      <c r="AA87" s="291"/>
      <c r="AB87" s="147"/>
      <c r="AC87" s="240">
        <f t="shared" si="17"/>
        <v>0</v>
      </c>
      <c r="AD87" s="149"/>
      <c r="AE87" s="240"/>
    </row>
    <row r="88" spans="1:31" s="148" customFormat="1" ht="10.5" customHeight="1" hidden="1" outlineLevel="1">
      <c r="A88" s="145" t="s">
        <v>111</v>
      </c>
      <c r="B88" s="329"/>
      <c r="C88" s="209"/>
      <c r="D88" s="296"/>
      <c r="E88" s="209"/>
      <c r="F88" s="296"/>
      <c r="G88" s="147"/>
      <c r="H88" s="240">
        <f t="shared" si="18"/>
        <v>0</v>
      </c>
      <c r="I88" s="296"/>
      <c r="J88" s="147"/>
      <c r="K88" s="296"/>
      <c r="L88" s="147"/>
      <c r="M88" s="296"/>
      <c r="N88" s="147"/>
      <c r="O88" s="240">
        <f t="shared" si="19"/>
        <v>0</v>
      </c>
      <c r="P88" s="296"/>
      <c r="Q88" s="147"/>
      <c r="R88" s="296"/>
      <c r="S88" s="147"/>
      <c r="T88" s="296"/>
      <c r="U88" s="147"/>
      <c r="V88" s="240">
        <f t="shared" si="20"/>
        <v>0</v>
      </c>
      <c r="W88" s="296"/>
      <c r="X88" s="147"/>
      <c r="Y88" s="296"/>
      <c r="Z88" s="147"/>
      <c r="AA88" s="296"/>
      <c r="AB88" s="147"/>
      <c r="AC88" s="240">
        <f t="shared" si="17"/>
        <v>0</v>
      </c>
      <c r="AD88" s="146"/>
      <c r="AE88" s="240"/>
    </row>
    <row r="89" spans="1:31" s="163" customFormat="1" ht="10.5" customHeight="1" hidden="1" outlineLevel="1">
      <c r="A89" s="162" t="s">
        <v>113</v>
      </c>
      <c r="B89" s="324"/>
      <c r="C89" s="209"/>
      <c r="D89" s="291"/>
      <c r="E89" s="209"/>
      <c r="F89" s="291"/>
      <c r="G89" s="147"/>
      <c r="H89" s="240">
        <f t="shared" si="18"/>
        <v>0</v>
      </c>
      <c r="I89" s="291"/>
      <c r="J89" s="147"/>
      <c r="K89" s="291"/>
      <c r="L89" s="147"/>
      <c r="M89" s="291"/>
      <c r="N89" s="147"/>
      <c r="O89" s="240">
        <f t="shared" si="19"/>
        <v>0</v>
      </c>
      <c r="P89" s="291"/>
      <c r="Q89" s="147"/>
      <c r="R89" s="291"/>
      <c r="S89" s="147"/>
      <c r="T89" s="291"/>
      <c r="U89" s="147"/>
      <c r="V89" s="240">
        <f t="shared" si="20"/>
        <v>0</v>
      </c>
      <c r="W89" s="291"/>
      <c r="X89" s="147"/>
      <c r="Y89" s="291"/>
      <c r="Z89" s="147"/>
      <c r="AA89" s="291"/>
      <c r="AB89" s="147"/>
      <c r="AC89" s="240">
        <f t="shared" si="17"/>
        <v>0</v>
      </c>
      <c r="AD89" s="149"/>
      <c r="AE89" s="240"/>
    </row>
    <row r="90" spans="1:31" s="144" customFormat="1" ht="14.25" customHeight="1" hidden="1" outlineLevel="1">
      <c r="A90" s="156" t="s">
        <v>28</v>
      </c>
      <c r="B90" s="324"/>
      <c r="C90" s="15"/>
      <c r="D90" s="291"/>
      <c r="E90" s="15"/>
      <c r="F90" s="291"/>
      <c r="G90" s="157"/>
      <c r="H90" s="235">
        <f t="shared" si="18"/>
        <v>0</v>
      </c>
      <c r="I90" s="291"/>
      <c r="J90" s="157"/>
      <c r="K90" s="291"/>
      <c r="L90" s="157"/>
      <c r="M90" s="291"/>
      <c r="N90" s="157"/>
      <c r="O90" s="235">
        <f t="shared" si="19"/>
        <v>0</v>
      </c>
      <c r="P90" s="291"/>
      <c r="Q90" s="157"/>
      <c r="R90" s="291"/>
      <c r="S90" s="157"/>
      <c r="T90" s="291"/>
      <c r="U90" s="157"/>
      <c r="V90" s="235">
        <f t="shared" si="20"/>
        <v>0</v>
      </c>
      <c r="W90" s="291"/>
      <c r="X90" s="157"/>
      <c r="Y90" s="291"/>
      <c r="Z90" s="157"/>
      <c r="AA90" s="291"/>
      <c r="AB90" s="157"/>
      <c r="AC90" s="235">
        <f t="shared" si="17"/>
        <v>0</v>
      </c>
      <c r="AD90" s="149"/>
      <c r="AE90" s="235"/>
    </row>
    <row r="91" spans="1:31" s="148" customFormat="1" ht="10.5" customHeight="1" hidden="1" outlineLevel="1">
      <c r="A91" s="145" t="s">
        <v>106</v>
      </c>
      <c r="B91" s="329"/>
      <c r="C91" s="209"/>
      <c r="D91" s="296"/>
      <c r="E91" s="209"/>
      <c r="F91" s="296"/>
      <c r="G91" s="147"/>
      <c r="H91" s="240">
        <f t="shared" si="18"/>
        <v>0</v>
      </c>
      <c r="I91" s="296"/>
      <c r="J91" s="147"/>
      <c r="K91" s="296"/>
      <c r="L91" s="147"/>
      <c r="M91" s="296"/>
      <c r="N91" s="147"/>
      <c r="O91" s="240">
        <f t="shared" si="19"/>
        <v>0</v>
      </c>
      <c r="P91" s="296"/>
      <c r="Q91" s="147"/>
      <c r="R91" s="296"/>
      <c r="S91" s="147"/>
      <c r="T91" s="296"/>
      <c r="U91" s="147"/>
      <c r="V91" s="240">
        <f t="shared" si="20"/>
        <v>0</v>
      </c>
      <c r="W91" s="296"/>
      <c r="X91" s="147"/>
      <c r="Y91" s="296"/>
      <c r="Z91" s="147"/>
      <c r="AA91" s="296"/>
      <c r="AB91" s="147"/>
      <c r="AC91" s="240">
        <f t="shared" si="17"/>
        <v>0</v>
      </c>
      <c r="AD91" s="146"/>
      <c r="AE91" s="240"/>
    </row>
    <row r="92" spans="1:31" s="148" customFormat="1" ht="10.5" customHeight="1" hidden="1" outlineLevel="1">
      <c r="A92" s="145" t="s">
        <v>112</v>
      </c>
      <c r="B92" s="329"/>
      <c r="C92" s="209"/>
      <c r="D92" s="296"/>
      <c r="E92" s="209"/>
      <c r="F92" s="296"/>
      <c r="G92" s="147"/>
      <c r="H92" s="240">
        <f t="shared" si="18"/>
        <v>0</v>
      </c>
      <c r="I92" s="296"/>
      <c r="J92" s="147"/>
      <c r="K92" s="296"/>
      <c r="L92" s="147"/>
      <c r="M92" s="296"/>
      <c r="N92" s="147"/>
      <c r="O92" s="240">
        <f t="shared" si="19"/>
        <v>0</v>
      </c>
      <c r="P92" s="296"/>
      <c r="Q92" s="147"/>
      <c r="R92" s="296"/>
      <c r="S92" s="147"/>
      <c r="T92" s="296"/>
      <c r="U92" s="147"/>
      <c r="V92" s="240">
        <f t="shared" si="20"/>
        <v>0</v>
      </c>
      <c r="W92" s="296"/>
      <c r="X92" s="147"/>
      <c r="Y92" s="296"/>
      <c r="Z92" s="147"/>
      <c r="AA92" s="296"/>
      <c r="AB92" s="147"/>
      <c r="AC92" s="240">
        <f t="shared" si="17"/>
        <v>0</v>
      </c>
      <c r="AD92" s="146"/>
      <c r="AE92" s="240"/>
    </row>
    <row r="93" spans="1:31" s="148" customFormat="1" ht="10.5" customHeight="1" hidden="1" outlineLevel="1">
      <c r="A93" s="145" t="s">
        <v>107</v>
      </c>
      <c r="B93" s="329"/>
      <c r="C93" s="209"/>
      <c r="D93" s="296"/>
      <c r="E93" s="209"/>
      <c r="F93" s="296"/>
      <c r="G93" s="147"/>
      <c r="H93" s="240">
        <f t="shared" si="18"/>
        <v>0</v>
      </c>
      <c r="I93" s="296"/>
      <c r="J93" s="147"/>
      <c r="K93" s="296"/>
      <c r="L93" s="147"/>
      <c r="M93" s="296"/>
      <c r="N93" s="147"/>
      <c r="O93" s="240">
        <f t="shared" si="19"/>
        <v>0</v>
      </c>
      <c r="P93" s="296"/>
      <c r="Q93" s="147"/>
      <c r="R93" s="296"/>
      <c r="S93" s="147"/>
      <c r="T93" s="296"/>
      <c r="U93" s="147"/>
      <c r="V93" s="240">
        <f t="shared" si="20"/>
        <v>0</v>
      </c>
      <c r="W93" s="296"/>
      <c r="X93" s="147"/>
      <c r="Y93" s="296"/>
      <c r="Z93" s="147"/>
      <c r="AA93" s="296"/>
      <c r="AB93" s="147"/>
      <c r="AC93" s="240">
        <f aca="true" t="shared" si="21" ref="AC93:AC136">X93+Z93+AB93</f>
        <v>0</v>
      </c>
      <c r="AD93" s="146"/>
      <c r="AE93" s="240"/>
    </row>
    <row r="94" spans="1:31" s="148" customFormat="1" ht="10.5" customHeight="1" hidden="1" outlineLevel="1">
      <c r="A94" s="145" t="s">
        <v>108</v>
      </c>
      <c r="B94" s="324"/>
      <c r="C94" s="209"/>
      <c r="D94" s="291"/>
      <c r="E94" s="209"/>
      <c r="F94" s="291"/>
      <c r="G94" s="147"/>
      <c r="H94" s="240">
        <f t="shared" si="18"/>
        <v>0</v>
      </c>
      <c r="I94" s="291"/>
      <c r="J94" s="147"/>
      <c r="K94" s="291"/>
      <c r="L94" s="147"/>
      <c r="M94" s="291"/>
      <c r="N94" s="147"/>
      <c r="O94" s="240">
        <f t="shared" si="19"/>
        <v>0</v>
      </c>
      <c r="P94" s="291"/>
      <c r="Q94" s="147"/>
      <c r="R94" s="291"/>
      <c r="S94" s="147"/>
      <c r="T94" s="291"/>
      <c r="U94" s="147"/>
      <c r="V94" s="240">
        <f t="shared" si="20"/>
        <v>0</v>
      </c>
      <c r="W94" s="291"/>
      <c r="X94" s="147"/>
      <c r="Y94" s="291"/>
      <c r="Z94" s="147"/>
      <c r="AA94" s="291"/>
      <c r="AB94" s="147"/>
      <c r="AC94" s="240">
        <f t="shared" si="21"/>
        <v>0</v>
      </c>
      <c r="AD94" s="149"/>
      <c r="AE94" s="240"/>
    </row>
    <row r="95" spans="1:31" s="148" customFormat="1" ht="10.5" customHeight="1" hidden="1" outlineLevel="1">
      <c r="A95" s="145" t="s">
        <v>109</v>
      </c>
      <c r="B95" s="324"/>
      <c r="C95" s="209"/>
      <c r="D95" s="291"/>
      <c r="E95" s="209"/>
      <c r="F95" s="291"/>
      <c r="G95" s="147"/>
      <c r="H95" s="240">
        <f t="shared" si="18"/>
        <v>0</v>
      </c>
      <c r="I95" s="291"/>
      <c r="J95" s="147"/>
      <c r="K95" s="291"/>
      <c r="L95" s="147"/>
      <c r="M95" s="291"/>
      <c r="N95" s="147"/>
      <c r="O95" s="240">
        <f t="shared" si="19"/>
        <v>0</v>
      </c>
      <c r="P95" s="291"/>
      <c r="Q95" s="147"/>
      <c r="R95" s="291"/>
      <c r="S95" s="147"/>
      <c r="T95" s="291"/>
      <c r="U95" s="147"/>
      <c r="V95" s="240">
        <f t="shared" si="20"/>
        <v>0</v>
      </c>
      <c r="W95" s="291"/>
      <c r="X95" s="147"/>
      <c r="Y95" s="291"/>
      <c r="Z95" s="147"/>
      <c r="AA95" s="291"/>
      <c r="AB95" s="147"/>
      <c r="AC95" s="240">
        <f t="shared" si="21"/>
        <v>0</v>
      </c>
      <c r="AD95" s="149"/>
      <c r="AE95" s="240"/>
    </row>
    <row r="96" spans="1:31" s="148" customFormat="1" ht="10.5" customHeight="1" hidden="1" outlineLevel="1">
      <c r="A96" s="145" t="s">
        <v>110</v>
      </c>
      <c r="B96" s="324"/>
      <c r="C96" s="209"/>
      <c r="D96" s="291"/>
      <c r="E96" s="209"/>
      <c r="F96" s="291"/>
      <c r="G96" s="147"/>
      <c r="H96" s="240">
        <f t="shared" si="18"/>
        <v>0</v>
      </c>
      <c r="I96" s="291"/>
      <c r="J96" s="147"/>
      <c r="K96" s="291"/>
      <c r="L96" s="147"/>
      <c r="M96" s="291"/>
      <c r="N96" s="147"/>
      <c r="O96" s="240">
        <f t="shared" si="19"/>
        <v>0</v>
      </c>
      <c r="P96" s="291"/>
      <c r="Q96" s="147"/>
      <c r="R96" s="291"/>
      <c r="S96" s="147"/>
      <c r="T96" s="291"/>
      <c r="U96" s="147"/>
      <c r="V96" s="240">
        <f t="shared" si="20"/>
        <v>0</v>
      </c>
      <c r="W96" s="291"/>
      <c r="X96" s="147"/>
      <c r="Y96" s="291"/>
      <c r="Z96" s="147"/>
      <c r="AA96" s="291"/>
      <c r="AB96" s="147"/>
      <c r="AC96" s="240">
        <f t="shared" si="21"/>
        <v>0</v>
      </c>
      <c r="AD96" s="149"/>
      <c r="AE96" s="240"/>
    </row>
    <row r="97" spans="1:31" s="148" customFormat="1" ht="10.5" customHeight="1" hidden="1" outlineLevel="1">
      <c r="A97" s="145" t="s">
        <v>111</v>
      </c>
      <c r="B97" s="329"/>
      <c r="C97" s="209"/>
      <c r="D97" s="296"/>
      <c r="E97" s="209"/>
      <c r="F97" s="296"/>
      <c r="G97" s="147"/>
      <c r="H97" s="240">
        <f t="shared" si="18"/>
        <v>0</v>
      </c>
      <c r="I97" s="296"/>
      <c r="J97" s="147"/>
      <c r="K97" s="296"/>
      <c r="L97" s="147"/>
      <c r="M97" s="296"/>
      <c r="N97" s="147"/>
      <c r="O97" s="240">
        <f t="shared" si="19"/>
        <v>0</v>
      </c>
      <c r="P97" s="296"/>
      <c r="Q97" s="147"/>
      <c r="R97" s="296"/>
      <c r="S97" s="147"/>
      <c r="T97" s="296"/>
      <c r="U97" s="147"/>
      <c r="V97" s="240">
        <f t="shared" si="20"/>
        <v>0</v>
      </c>
      <c r="W97" s="296"/>
      <c r="X97" s="147"/>
      <c r="Y97" s="296"/>
      <c r="Z97" s="147"/>
      <c r="AA97" s="296"/>
      <c r="AB97" s="147"/>
      <c r="AC97" s="240">
        <f t="shared" si="21"/>
        <v>0</v>
      </c>
      <c r="AD97" s="146"/>
      <c r="AE97" s="240"/>
    </row>
    <row r="98" spans="1:31" s="148" customFormat="1" ht="10.5" customHeight="1" hidden="1" outlineLevel="1" thickBot="1">
      <c r="A98" s="150" t="s">
        <v>113</v>
      </c>
      <c r="B98" s="330"/>
      <c r="C98" s="210"/>
      <c r="D98" s="297"/>
      <c r="E98" s="210"/>
      <c r="F98" s="297"/>
      <c r="G98" s="151"/>
      <c r="H98" s="241">
        <f t="shared" si="18"/>
        <v>0</v>
      </c>
      <c r="I98" s="297"/>
      <c r="J98" s="151"/>
      <c r="K98" s="297"/>
      <c r="L98" s="151"/>
      <c r="M98" s="297"/>
      <c r="N98" s="151"/>
      <c r="O98" s="241">
        <f t="shared" si="19"/>
        <v>0</v>
      </c>
      <c r="P98" s="297"/>
      <c r="Q98" s="151"/>
      <c r="R98" s="297"/>
      <c r="S98" s="151"/>
      <c r="T98" s="297"/>
      <c r="U98" s="151"/>
      <c r="V98" s="241">
        <f t="shared" si="20"/>
        <v>0</v>
      </c>
      <c r="W98" s="297"/>
      <c r="X98" s="151"/>
      <c r="Y98" s="297"/>
      <c r="Z98" s="151"/>
      <c r="AA98" s="297"/>
      <c r="AB98" s="151"/>
      <c r="AC98" s="241">
        <f t="shared" si="21"/>
        <v>0</v>
      </c>
      <c r="AD98" s="152"/>
      <c r="AE98" s="241"/>
    </row>
    <row r="99" spans="1:31" s="167" customFormat="1" ht="14.25" customHeight="1" hidden="1" outlineLevel="1">
      <c r="A99" s="164" t="s">
        <v>5</v>
      </c>
      <c r="B99" s="332"/>
      <c r="C99" s="94"/>
      <c r="D99" s="299"/>
      <c r="E99" s="94"/>
      <c r="F99" s="299"/>
      <c r="G99" s="166"/>
      <c r="H99" s="243">
        <f t="shared" si="18"/>
        <v>0</v>
      </c>
      <c r="I99" s="299"/>
      <c r="J99" s="166"/>
      <c r="K99" s="299"/>
      <c r="L99" s="166"/>
      <c r="M99" s="299"/>
      <c r="N99" s="166"/>
      <c r="O99" s="243">
        <f t="shared" si="19"/>
        <v>0</v>
      </c>
      <c r="P99" s="299"/>
      <c r="Q99" s="166"/>
      <c r="R99" s="299"/>
      <c r="S99" s="166"/>
      <c r="T99" s="299"/>
      <c r="U99" s="166"/>
      <c r="V99" s="243">
        <f t="shared" si="20"/>
        <v>0</v>
      </c>
      <c r="W99" s="299"/>
      <c r="X99" s="166"/>
      <c r="Y99" s="299"/>
      <c r="Z99" s="166"/>
      <c r="AA99" s="299"/>
      <c r="AB99" s="166"/>
      <c r="AC99" s="243">
        <f t="shared" si="21"/>
        <v>0</v>
      </c>
      <c r="AD99" s="165"/>
      <c r="AE99" s="243"/>
    </row>
    <row r="100" spans="1:31" s="148" customFormat="1" ht="10.5" customHeight="1" hidden="1" outlineLevel="1">
      <c r="A100" s="145" t="s">
        <v>106</v>
      </c>
      <c r="B100" s="329"/>
      <c r="C100" s="209"/>
      <c r="D100" s="296"/>
      <c r="E100" s="209"/>
      <c r="F100" s="296"/>
      <c r="G100" s="147"/>
      <c r="H100" s="240">
        <f t="shared" si="18"/>
        <v>0</v>
      </c>
      <c r="I100" s="296"/>
      <c r="J100" s="147"/>
      <c r="K100" s="296"/>
      <c r="L100" s="147"/>
      <c r="M100" s="296"/>
      <c r="N100" s="147"/>
      <c r="O100" s="240">
        <f t="shared" si="19"/>
        <v>0</v>
      </c>
      <c r="P100" s="296"/>
      <c r="Q100" s="147"/>
      <c r="R100" s="296"/>
      <c r="S100" s="147"/>
      <c r="T100" s="296"/>
      <c r="U100" s="147"/>
      <c r="V100" s="240">
        <f t="shared" si="20"/>
        <v>0</v>
      </c>
      <c r="W100" s="296"/>
      <c r="X100" s="147"/>
      <c r="Y100" s="296"/>
      <c r="Z100" s="147"/>
      <c r="AA100" s="296"/>
      <c r="AB100" s="147"/>
      <c r="AC100" s="240">
        <f t="shared" si="21"/>
        <v>0</v>
      </c>
      <c r="AD100" s="146"/>
      <c r="AE100" s="240"/>
    </row>
    <row r="101" spans="1:31" s="148" customFormat="1" ht="10.5" customHeight="1" hidden="1" outlineLevel="1">
      <c r="A101" s="145" t="s">
        <v>112</v>
      </c>
      <c r="B101" s="329"/>
      <c r="C101" s="209"/>
      <c r="D101" s="296"/>
      <c r="E101" s="209"/>
      <c r="F101" s="296"/>
      <c r="G101" s="147"/>
      <c r="H101" s="240">
        <f t="shared" si="18"/>
        <v>0</v>
      </c>
      <c r="I101" s="296"/>
      <c r="J101" s="147"/>
      <c r="K101" s="296"/>
      <c r="L101" s="147"/>
      <c r="M101" s="296"/>
      <c r="N101" s="147"/>
      <c r="O101" s="240">
        <f t="shared" si="19"/>
        <v>0</v>
      </c>
      <c r="P101" s="296"/>
      <c r="Q101" s="147"/>
      <c r="R101" s="296"/>
      <c r="S101" s="147"/>
      <c r="T101" s="296"/>
      <c r="U101" s="147"/>
      <c r="V101" s="240">
        <f t="shared" si="20"/>
        <v>0</v>
      </c>
      <c r="W101" s="296"/>
      <c r="X101" s="147"/>
      <c r="Y101" s="296"/>
      <c r="Z101" s="147"/>
      <c r="AA101" s="296"/>
      <c r="AB101" s="147"/>
      <c r="AC101" s="240">
        <f t="shared" si="21"/>
        <v>0</v>
      </c>
      <c r="AD101" s="146"/>
      <c r="AE101" s="240"/>
    </row>
    <row r="102" spans="1:31" s="148" customFormat="1" ht="10.5" customHeight="1" hidden="1" outlineLevel="1">
      <c r="A102" s="145" t="s">
        <v>107</v>
      </c>
      <c r="B102" s="329"/>
      <c r="C102" s="209"/>
      <c r="D102" s="296"/>
      <c r="E102" s="209"/>
      <c r="F102" s="296"/>
      <c r="G102" s="147"/>
      <c r="H102" s="240">
        <f t="shared" si="18"/>
        <v>0</v>
      </c>
      <c r="I102" s="296"/>
      <c r="J102" s="147"/>
      <c r="K102" s="296"/>
      <c r="L102" s="147"/>
      <c r="M102" s="296"/>
      <c r="N102" s="147"/>
      <c r="O102" s="240">
        <f t="shared" si="19"/>
        <v>0</v>
      </c>
      <c r="P102" s="296"/>
      <c r="Q102" s="147"/>
      <c r="R102" s="296"/>
      <c r="S102" s="147"/>
      <c r="T102" s="296"/>
      <c r="U102" s="147"/>
      <c r="V102" s="240">
        <f t="shared" si="20"/>
        <v>0</v>
      </c>
      <c r="W102" s="296"/>
      <c r="X102" s="147"/>
      <c r="Y102" s="296"/>
      <c r="Z102" s="147"/>
      <c r="AA102" s="296"/>
      <c r="AB102" s="147"/>
      <c r="AC102" s="240">
        <f t="shared" si="21"/>
        <v>0</v>
      </c>
      <c r="AD102" s="146"/>
      <c r="AE102" s="240"/>
    </row>
    <row r="103" spans="1:31" s="148" customFormat="1" ht="10.5" customHeight="1" hidden="1" outlineLevel="1">
      <c r="A103" s="145" t="s">
        <v>108</v>
      </c>
      <c r="B103" s="324"/>
      <c r="C103" s="209"/>
      <c r="D103" s="291"/>
      <c r="E103" s="209"/>
      <c r="F103" s="291"/>
      <c r="G103" s="147"/>
      <c r="H103" s="240">
        <f t="shared" si="18"/>
        <v>0</v>
      </c>
      <c r="I103" s="291"/>
      <c r="J103" s="147"/>
      <c r="K103" s="291"/>
      <c r="L103" s="147"/>
      <c r="M103" s="291"/>
      <c r="N103" s="147"/>
      <c r="O103" s="240">
        <f t="shared" si="19"/>
        <v>0</v>
      </c>
      <c r="P103" s="291"/>
      <c r="Q103" s="147"/>
      <c r="R103" s="291"/>
      <c r="S103" s="147"/>
      <c r="T103" s="291"/>
      <c r="U103" s="147"/>
      <c r="V103" s="240">
        <f t="shared" si="20"/>
        <v>0</v>
      </c>
      <c r="W103" s="291"/>
      <c r="X103" s="147"/>
      <c r="Y103" s="291"/>
      <c r="Z103" s="147"/>
      <c r="AA103" s="291"/>
      <c r="AB103" s="147"/>
      <c r="AC103" s="240">
        <f t="shared" si="21"/>
        <v>0</v>
      </c>
      <c r="AD103" s="149"/>
      <c r="AE103" s="240"/>
    </row>
    <row r="104" spans="1:31" s="148" customFormat="1" ht="10.5" customHeight="1" hidden="1" outlineLevel="1">
      <c r="A104" s="145" t="s">
        <v>109</v>
      </c>
      <c r="B104" s="324"/>
      <c r="C104" s="209"/>
      <c r="D104" s="291"/>
      <c r="E104" s="209"/>
      <c r="F104" s="291"/>
      <c r="G104" s="147"/>
      <c r="H104" s="240">
        <f t="shared" si="18"/>
        <v>0</v>
      </c>
      <c r="I104" s="291"/>
      <c r="J104" s="147"/>
      <c r="K104" s="291"/>
      <c r="L104" s="147"/>
      <c r="M104" s="291"/>
      <c r="N104" s="147"/>
      <c r="O104" s="240">
        <f t="shared" si="19"/>
        <v>0</v>
      </c>
      <c r="P104" s="291"/>
      <c r="Q104" s="147"/>
      <c r="R104" s="291"/>
      <c r="S104" s="147"/>
      <c r="T104" s="291"/>
      <c r="U104" s="147"/>
      <c r="V104" s="240">
        <f t="shared" si="20"/>
        <v>0</v>
      </c>
      <c r="W104" s="291"/>
      <c r="X104" s="147"/>
      <c r="Y104" s="291"/>
      <c r="Z104" s="147"/>
      <c r="AA104" s="291"/>
      <c r="AB104" s="147"/>
      <c r="AC104" s="240">
        <f t="shared" si="21"/>
        <v>0</v>
      </c>
      <c r="AD104" s="149"/>
      <c r="AE104" s="240"/>
    </row>
    <row r="105" spans="1:31" s="148" customFormat="1" ht="10.5" customHeight="1" hidden="1" outlineLevel="1">
      <c r="A105" s="145" t="s">
        <v>110</v>
      </c>
      <c r="B105" s="324"/>
      <c r="C105" s="209"/>
      <c r="D105" s="291"/>
      <c r="E105" s="209"/>
      <c r="F105" s="291"/>
      <c r="G105" s="147"/>
      <c r="H105" s="240">
        <f t="shared" si="18"/>
        <v>0</v>
      </c>
      <c r="I105" s="291"/>
      <c r="J105" s="147"/>
      <c r="K105" s="291"/>
      <c r="L105" s="147"/>
      <c r="M105" s="291"/>
      <c r="N105" s="147"/>
      <c r="O105" s="240">
        <f t="shared" si="19"/>
        <v>0</v>
      </c>
      <c r="P105" s="291"/>
      <c r="Q105" s="147"/>
      <c r="R105" s="291"/>
      <c r="S105" s="147"/>
      <c r="T105" s="291"/>
      <c r="U105" s="147"/>
      <c r="V105" s="240">
        <f t="shared" si="20"/>
        <v>0</v>
      </c>
      <c r="W105" s="291"/>
      <c r="X105" s="147"/>
      <c r="Y105" s="291"/>
      <c r="Z105" s="147"/>
      <c r="AA105" s="291"/>
      <c r="AB105" s="147"/>
      <c r="AC105" s="240">
        <f t="shared" si="21"/>
        <v>0</v>
      </c>
      <c r="AD105" s="149"/>
      <c r="AE105" s="240"/>
    </row>
    <row r="106" spans="1:31" s="148" customFormat="1" ht="10.5" customHeight="1" hidden="1" outlineLevel="1">
      <c r="A106" s="145" t="s">
        <v>111</v>
      </c>
      <c r="B106" s="329"/>
      <c r="C106" s="209"/>
      <c r="D106" s="296"/>
      <c r="E106" s="209"/>
      <c r="F106" s="296"/>
      <c r="G106" s="147"/>
      <c r="H106" s="240">
        <f t="shared" si="18"/>
        <v>0</v>
      </c>
      <c r="I106" s="296"/>
      <c r="J106" s="147"/>
      <c r="K106" s="296"/>
      <c r="L106" s="147"/>
      <c r="M106" s="296"/>
      <c r="N106" s="147"/>
      <c r="O106" s="240">
        <f t="shared" si="19"/>
        <v>0</v>
      </c>
      <c r="P106" s="296"/>
      <c r="Q106" s="147"/>
      <c r="R106" s="296"/>
      <c r="S106" s="147"/>
      <c r="T106" s="296"/>
      <c r="U106" s="147"/>
      <c r="V106" s="240">
        <f t="shared" si="20"/>
        <v>0</v>
      </c>
      <c r="W106" s="296"/>
      <c r="X106" s="147"/>
      <c r="Y106" s="296"/>
      <c r="Z106" s="147"/>
      <c r="AA106" s="296"/>
      <c r="AB106" s="147"/>
      <c r="AC106" s="240">
        <f t="shared" si="21"/>
        <v>0</v>
      </c>
      <c r="AD106" s="146"/>
      <c r="AE106" s="240"/>
    </row>
    <row r="107" spans="1:31" s="148" customFormat="1" ht="10.5" customHeight="1" hidden="1" outlineLevel="1" thickBot="1">
      <c r="A107" s="150" t="s">
        <v>113</v>
      </c>
      <c r="B107" s="330"/>
      <c r="C107" s="210"/>
      <c r="D107" s="297"/>
      <c r="E107" s="210"/>
      <c r="F107" s="297"/>
      <c r="G107" s="151"/>
      <c r="H107" s="241">
        <f t="shared" si="18"/>
        <v>0</v>
      </c>
      <c r="I107" s="297"/>
      <c r="J107" s="151"/>
      <c r="K107" s="297"/>
      <c r="L107" s="151"/>
      <c r="M107" s="297"/>
      <c r="N107" s="151"/>
      <c r="O107" s="241">
        <f t="shared" si="19"/>
        <v>0</v>
      </c>
      <c r="P107" s="297"/>
      <c r="Q107" s="151"/>
      <c r="R107" s="297"/>
      <c r="S107" s="151"/>
      <c r="T107" s="297"/>
      <c r="U107" s="151"/>
      <c r="V107" s="241">
        <f t="shared" si="20"/>
        <v>0</v>
      </c>
      <c r="W107" s="297"/>
      <c r="X107" s="151"/>
      <c r="Y107" s="297"/>
      <c r="Z107" s="151"/>
      <c r="AA107" s="297"/>
      <c r="AB107" s="151"/>
      <c r="AC107" s="241">
        <f t="shared" si="21"/>
        <v>0</v>
      </c>
      <c r="AD107" s="152"/>
      <c r="AE107" s="241"/>
    </row>
    <row r="108" spans="1:31" s="167" customFormat="1" ht="14.25" customHeight="1" hidden="1" outlineLevel="1">
      <c r="A108" s="164" t="s">
        <v>4</v>
      </c>
      <c r="B108" s="332"/>
      <c r="C108" s="94"/>
      <c r="D108" s="299"/>
      <c r="E108" s="94"/>
      <c r="F108" s="299"/>
      <c r="G108" s="166"/>
      <c r="H108" s="243">
        <f t="shared" si="18"/>
        <v>0</v>
      </c>
      <c r="I108" s="299"/>
      <c r="J108" s="166"/>
      <c r="K108" s="299"/>
      <c r="L108" s="166"/>
      <c r="M108" s="299"/>
      <c r="N108" s="166"/>
      <c r="O108" s="243">
        <f t="shared" si="19"/>
        <v>0</v>
      </c>
      <c r="P108" s="299"/>
      <c r="Q108" s="166"/>
      <c r="R108" s="299"/>
      <c r="S108" s="166"/>
      <c r="T108" s="299"/>
      <c r="U108" s="166"/>
      <c r="V108" s="243">
        <f t="shared" si="20"/>
        <v>0</v>
      </c>
      <c r="W108" s="299"/>
      <c r="X108" s="166"/>
      <c r="Y108" s="299"/>
      <c r="Z108" s="166"/>
      <c r="AA108" s="299"/>
      <c r="AB108" s="166"/>
      <c r="AC108" s="243">
        <f t="shared" si="21"/>
        <v>0</v>
      </c>
      <c r="AD108" s="165"/>
      <c r="AE108" s="243"/>
    </row>
    <row r="109" spans="1:31" s="148" customFormat="1" ht="10.5" customHeight="1" hidden="1" outlineLevel="1">
      <c r="A109" s="145" t="s">
        <v>106</v>
      </c>
      <c r="B109" s="329"/>
      <c r="C109" s="209"/>
      <c r="D109" s="296"/>
      <c r="E109" s="209"/>
      <c r="F109" s="296"/>
      <c r="G109" s="147"/>
      <c r="H109" s="240">
        <f t="shared" si="18"/>
        <v>0</v>
      </c>
      <c r="I109" s="296"/>
      <c r="J109" s="147"/>
      <c r="K109" s="296"/>
      <c r="L109" s="147"/>
      <c r="M109" s="296"/>
      <c r="N109" s="147"/>
      <c r="O109" s="240">
        <f t="shared" si="19"/>
        <v>0</v>
      </c>
      <c r="P109" s="296"/>
      <c r="Q109" s="147"/>
      <c r="R109" s="296"/>
      <c r="S109" s="147"/>
      <c r="T109" s="296"/>
      <c r="U109" s="147"/>
      <c r="V109" s="240">
        <f t="shared" si="20"/>
        <v>0</v>
      </c>
      <c r="W109" s="296"/>
      <c r="X109" s="147"/>
      <c r="Y109" s="296"/>
      <c r="Z109" s="147"/>
      <c r="AA109" s="296"/>
      <c r="AB109" s="147"/>
      <c r="AC109" s="240">
        <f t="shared" si="21"/>
        <v>0</v>
      </c>
      <c r="AD109" s="146"/>
      <c r="AE109" s="240"/>
    </row>
    <row r="110" spans="1:31" s="148" customFormat="1" ht="10.5" customHeight="1" hidden="1" outlineLevel="1">
      <c r="A110" s="145" t="s">
        <v>112</v>
      </c>
      <c r="B110" s="329"/>
      <c r="C110" s="209"/>
      <c r="D110" s="296"/>
      <c r="E110" s="209"/>
      <c r="F110" s="296"/>
      <c r="G110" s="147"/>
      <c r="H110" s="240">
        <f t="shared" si="18"/>
        <v>0</v>
      </c>
      <c r="I110" s="296"/>
      <c r="J110" s="147"/>
      <c r="K110" s="296"/>
      <c r="L110" s="147"/>
      <c r="M110" s="296"/>
      <c r="N110" s="147"/>
      <c r="O110" s="240">
        <f t="shared" si="19"/>
        <v>0</v>
      </c>
      <c r="P110" s="296"/>
      <c r="Q110" s="147"/>
      <c r="R110" s="296"/>
      <c r="S110" s="147"/>
      <c r="T110" s="296"/>
      <c r="U110" s="147"/>
      <c r="V110" s="240">
        <f t="shared" si="20"/>
        <v>0</v>
      </c>
      <c r="W110" s="296"/>
      <c r="X110" s="147"/>
      <c r="Y110" s="296"/>
      <c r="Z110" s="147"/>
      <c r="AA110" s="296"/>
      <c r="AB110" s="147"/>
      <c r="AC110" s="240">
        <f t="shared" si="21"/>
        <v>0</v>
      </c>
      <c r="AD110" s="146"/>
      <c r="AE110" s="240"/>
    </row>
    <row r="111" spans="1:31" s="148" customFormat="1" ht="10.5" customHeight="1" hidden="1" outlineLevel="1">
      <c r="A111" s="145" t="s">
        <v>107</v>
      </c>
      <c r="B111" s="329"/>
      <c r="C111" s="209"/>
      <c r="D111" s="296"/>
      <c r="E111" s="209"/>
      <c r="F111" s="296"/>
      <c r="G111" s="147"/>
      <c r="H111" s="240">
        <f t="shared" si="18"/>
        <v>0</v>
      </c>
      <c r="I111" s="296"/>
      <c r="J111" s="147"/>
      <c r="K111" s="296"/>
      <c r="L111" s="147"/>
      <c r="M111" s="296"/>
      <c r="N111" s="147"/>
      <c r="O111" s="240">
        <f t="shared" si="19"/>
        <v>0</v>
      </c>
      <c r="P111" s="296"/>
      <c r="Q111" s="147"/>
      <c r="R111" s="296"/>
      <c r="S111" s="147"/>
      <c r="T111" s="296"/>
      <c r="U111" s="147"/>
      <c r="V111" s="240">
        <f t="shared" si="20"/>
        <v>0</v>
      </c>
      <c r="W111" s="296"/>
      <c r="X111" s="147"/>
      <c r="Y111" s="296"/>
      <c r="Z111" s="147"/>
      <c r="AA111" s="296"/>
      <c r="AB111" s="147"/>
      <c r="AC111" s="240">
        <f t="shared" si="21"/>
        <v>0</v>
      </c>
      <c r="AD111" s="146"/>
      <c r="AE111" s="240"/>
    </row>
    <row r="112" spans="1:31" s="148" customFormat="1" ht="10.5" customHeight="1" hidden="1" outlineLevel="1">
      <c r="A112" s="145" t="s">
        <v>108</v>
      </c>
      <c r="B112" s="324"/>
      <c r="C112" s="209"/>
      <c r="D112" s="291"/>
      <c r="E112" s="209"/>
      <c r="F112" s="291"/>
      <c r="G112" s="147"/>
      <c r="H112" s="240">
        <f t="shared" si="18"/>
        <v>0</v>
      </c>
      <c r="I112" s="291"/>
      <c r="J112" s="147"/>
      <c r="K112" s="291"/>
      <c r="L112" s="147"/>
      <c r="M112" s="291"/>
      <c r="N112" s="147"/>
      <c r="O112" s="240">
        <f t="shared" si="19"/>
        <v>0</v>
      </c>
      <c r="P112" s="291"/>
      <c r="Q112" s="147"/>
      <c r="R112" s="291"/>
      <c r="S112" s="147"/>
      <c r="T112" s="291"/>
      <c r="U112" s="147"/>
      <c r="V112" s="240">
        <f t="shared" si="20"/>
        <v>0</v>
      </c>
      <c r="W112" s="291"/>
      <c r="X112" s="147"/>
      <c r="Y112" s="291"/>
      <c r="Z112" s="147"/>
      <c r="AA112" s="291"/>
      <c r="AB112" s="147"/>
      <c r="AC112" s="240">
        <f t="shared" si="21"/>
        <v>0</v>
      </c>
      <c r="AD112" s="149"/>
      <c r="AE112" s="240"/>
    </row>
    <row r="113" spans="1:31" s="148" customFormat="1" ht="10.5" customHeight="1" hidden="1" outlineLevel="1">
      <c r="A113" s="145" t="s">
        <v>109</v>
      </c>
      <c r="B113" s="324"/>
      <c r="C113" s="209"/>
      <c r="D113" s="291"/>
      <c r="E113" s="209"/>
      <c r="F113" s="291"/>
      <c r="G113" s="147"/>
      <c r="H113" s="240">
        <f t="shared" si="18"/>
        <v>0</v>
      </c>
      <c r="I113" s="291"/>
      <c r="J113" s="147"/>
      <c r="K113" s="291"/>
      <c r="L113" s="147"/>
      <c r="M113" s="291"/>
      <c r="N113" s="147"/>
      <c r="O113" s="240">
        <f t="shared" si="19"/>
        <v>0</v>
      </c>
      <c r="P113" s="291"/>
      <c r="Q113" s="147"/>
      <c r="R113" s="291"/>
      <c r="S113" s="147"/>
      <c r="T113" s="291"/>
      <c r="U113" s="147"/>
      <c r="V113" s="240">
        <f t="shared" si="20"/>
        <v>0</v>
      </c>
      <c r="W113" s="291"/>
      <c r="X113" s="147"/>
      <c r="Y113" s="291"/>
      <c r="Z113" s="147"/>
      <c r="AA113" s="291"/>
      <c r="AB113" s="147"/>
      <c r="AC113" s="240">
        <f t="shared" si="21"/>
        <v>0</v>
      </c>
      <c r="AD113" s="149"/>
      <c r="AE113" s="240"/>
    </row>
    <row r="114" spans="1:31" s="148" customFormat="1" ht="10.5" customHeight="1" hidden="1" outlineLevel="1">
      <c r="A114" s="145" t="s">
        <v>110</v>
      </c>
      <c r="B114" s="324"/>
      <c r="C114" s="209"/>
      <c r="D114" s="291"/>
      <c r="E114" s="209"/>
      <c r="F114" s="291"/>
      <c r="G114" s="147"/>
      <c r="H114" s="240">
        <f t="shared" si="18"/>
        <v>0</v>
      </c>
      <c r="I114" s="291"/>
      <c r="J114" s="147"/>
      <c r="K114" s="291"/>
      <c r="L114" s="147"/>
      <c r="M114" s="291"/>
      <c r="N114" s="147"/>
      <c r="O114" s="240">
        <f t="shared" si="19"/>
        <v>0</v>
      </c>
      <c r="P114" s="291"/>
      <c r="Q114" s="147"/>
      <c r="R114" s="291"/>
      <c r="S114" s="147"/>
      <c r="T114" s="291"/>
      <c r="U114" s="147"/>
      <c r="V114" s="240">
        <f t="shared" si="20"/>
        <v>0</v>
      </c>
      <c r="W114" s="291"/>
      <c r="X114" s="147"/>
      <c r="Y114" s="291"/>
      <c r="Z114" s="147"/>
      <c r="AA114" s="291"/>
      <c r="AB114" s="147"/>
      <c r="AC114" s="240">
        <f t="shared" si="21"/>
        <v>0</v>
      </c>
      <c r="AD114" s="149"/>
      <c r="AE114" s="240"/>
    </row>
    <row r="115" spans="1:31" s="148" customFormat="1" ht="10.5" customHeight="1" hidden="1" outlineLevel="1">
      <c r="A115" s="145" t="s">
        <v>111</v>
      </c>
      <c r="B115" s="329"/>
      <c r="C115" s="209"/>
      <c r="D115" s="296"/>
      <c r="E115" s="209"/>
      <c r="F115" s="296"/>
      <c r="G115" s="147"/>
      <c r="H115" s="240">
        <f t="shared" si="18"/>
        <v>0</v>
      </c>
      <c r="I115" s="296"/>
      <c r="J115" s="147"/>
      <c r="K115" s="296"/>
      <c r="L115" s="147"/>
      <c r="M115" s="296"/>
      <c r="N115" s="147"/>
      <c r="O115" s="240">
        <f t="shared" si="19"/>
        <v>0</v>
      </c>
      <c r="P115" s="296"/>
      <c r="Q115" s="147"/>
      <c r="R115" s="296"/>
      <c r="S115" s="147"/>
      <c r="T115" s="296"/>
      <c r="U115" s="147"/>
      <c r="V115" s="240">
        <f t="shared" si="20"/>
        <v>0</v>
      </c>
      <c r="W115" s="296"/>
      <c r="X115" s="147"/>
      <c r="Y115" s="296"/>
      <c r="Z115" s="147"/>
      <c r="AA115" s="296"/>
      <c r="AB115" s="147"/>
      <c r="AC115" s="240">
        <f t="shared" si="21"/>
        <v>0</v>
      </c>
      <c r="AD115" s="146"/>
      <c r="AE115" s="240"/>
    </row>
    <row r="116" spans="1:31" s="171" customFormat="1" ht="10.5" customHeight="1" hidden="1" outlineLevel="1" thickBot="1">
      <c r="A116" s="168" t="s">
        <v>113</v>
      </c>
      <c r="B116" s="333"/>
      <c r="C116" s="212"/>
      <c r="D116" s="300"/>
      <c r="E116" s="212"/>
      <c r="F116" s="300"/>
      <c r="G116" s="169"/>
      <c r="H116" s="244">
        <f t="shared" si="18"/>
        <v>0</v>
      </c>
      <c r="I116" s="300"/>
      <c r="J116" s="169"/>
      <c r="K116" s="300"/>
      <c r="L116" s="169"/>
      <c r="M116" s="300"/>
      <c r="N116" s="169"/>
      <c r="O116" s="244">
        <f t="shared" si="19"/>
        <v>0</v>
      </c>
      <c r="P116" s="300"/>
      <c r="Q116" s="169"/>
      <c r="R116" s="300"/>
      <c r="S116" s="169"/>
      <c r="T116" s="300"/>
      <c r="U116" s="169"/>
      <c r="V116" s="244">
        <f t="shared" si="20"/>
        <v>0</v>
      </c>
      <c r="W116" s="300"/>
      <c r="X116" s="169"/>
      <c r="Y116" s="300"/>
      <c r="Z116" s="169"/>
      <c r="AA116" s="300"/>
      <c r="AB116" s="169"/>
      <c r="AC116" s="244">
        <f t="shared" si="21"/>
        <v>0</v>
      </c>
      <c r="AD116" s="170"/>
      <c r="AE116" s="244"/>
    </row>
    <row r="117" spans="1:31" s="144" customFormat="1" ht="14.25" customHeight="1" hidden="1" outlineLevel="1">
      <c r="A117" s="156" t="s">
        <v>6</v>
      </c>
      <c r="B117" s="324"/>
      <c r="C117" s="15"/>
      <c r="D117" s="291"/>
      <c r="E117" s="15"/>
      <c r="F117" s="291"/>
      <c r="G117" s="157"/>
      <c r="H117" s="235">
        <f t="shared" si="18"/>
        <v>0</v>
      </c>
      <c r="I117" s="291"/>
      <c r="J117" s="157"/>
      <c r="K117" s="291"/>
      <c r="L117" s="157"/>
      <c r="M117" s="291"/>
      <c r="N117" s="157"/>
      <c r="O117" s="235">
        <f t="shared" si="19"/>
        <v>0</v>
      </c>
      <c r="P117" s="291"/>
      <c r="Q117" s="157"/>
      <c r="R117" s="291"/>
      <c r="S117" s="157"/>
      <c r="T117" s="291"/>
      <c r="U117" s="157"/>
      <c r="V117" s="235">
        <f t="shared" si="20"/>
        <v>0</v>
      </c>
      <c r="W117" s="291"/>
      <c r="X117" s="157"/>
      <c r="Y117" s="291"/>
      <c r="Z117" s="157"/>
      <c r="AA117" s="291"/>
      <c r="AB117" s="157"/>
      <c r="AC117" s="235">
        <f t="shared" si="21"/>
        <v>0</v>
      </c>
      <c r="AD117" s="149"/>
      <c r="AE117" s="235"/>
    </row>
    <row r="118" spans="1:31" s="148" customFormat="1" ht="10.5" customHeight="1" hidden="1" outlineLevel="1">
      <c r="A118" s="145" t="s">
        <v>106</v>
      </c>
      <c r="B118" s="329"/>
      <c r="C118" s="209"/>
      <c r="D118" s="296"/>
      <c r="E118" s="209"/>
      <c r="F118" s="296"/>
      <c r="G118" s="147"/>
      <c r="H118" s="240">
        <f t="shared" si="18"/>
        <v>0</v>
      </c>
      <c r="I118" s="296"/>
      <c r="J118" s="147"/>
      <c r="K118" s="296"/>
      <c r="L118" s="147"/>
      <c r="M118" s="296"/>
      <c r="N118" s="147"/>
      <c r="O118" s="240">
        <f t="shared" si="19"/>
        <v>0</v>
      </c>
      <c r="P118" s="296"/>
      <c r="Q118" s="147"/>
      <c r="R118" s="296"/>
      <c r="S118" s="147"/>
      <c r="T118" s="296"/>
      <c r="U118" s="147"/>
      <c r="V118" s="240">
        <f t="shared" si="20"/>
        <v>0</v>
      </c>
      <c r="W118" s="296"/>
      <c r="X118" s="147"/>
      <c r="Y118" s="296"/>
      <c r="Z118" s="147"/>
      <c r="AA118" s="296"/>
      <c r="AB118" s="147"/>
      <c r="AC118" s="240">
        <f t="shared" si="21"/>
        <v>0</v>
      </c>
      <c r="AD118" s="146"/>
      <c r="AE118" s="240"/>
    </row>
    <row r="119" spans="1:31" s="148" customFormat="1" ht="10.5" customHeight="1" hidden="1" outlineLevel="1">
      <c r="A119" s="145" t="s">
        <v>112</v>
      </c>
      <c r="B119" s="329"/>
      <c r="C119" s="209"/>
      <c r="D119" s="296"/>
      <c r="E119" s="209"/>
      <c r="F119" s="296"/>
      <c r="G119" s="147"/>
      <c r="H119" s="240">
        <f t="shared" si="18"/>
        <v>0</v>
      </c>
      <c r="I119" s="296"/>
      <c r="J119" s="147"/>
      <c r="K119" s="296"/>
      <c r="L119" s="147"/>
      <c r="M119" s="296"/>
      <c r="N119" s="147"/>
      <c r="O119" s="240">
        <f t="shared" si="19"/>
        <v>0</v>
      </c>
      <c r="P119" s="296"/>
      <c r="Q119" s="147"/>
      <c r="R119" s="296"/>
      <c r="S119" s="147"/>
      <c r="T119" s="296"/>
      <c r="U119" s="147"/>
      <c r="V119" s="240">
        <f t="shared" si="20"/>
        <v>0</v>
      </c>
      <c r="W119" s="296"/>
      <c r="X119" s="147"/>
      <c r="Y119" s="296"/>
      <c r="Z119" s="147"/>
      <c r="AA119" s="296"/>
      <c r="AB119" s="147"/>
      <c r="AC119" s="240">
        <f t="shared" si="21"/>
        <v>0</v>
      </c>
      <c r="AD119" s="146"/>
      <c r="AE119" s="240"/>
    </row>
    <row r="120" spans="1:31" s="148" customFormat="1" ht="10.5" customHeight="1" hidden="1" outlineLevel="1">
      <c r="A120" s="145" t="s">
        <v>107</v>
      </c>
      <c r="B120" s="329"/>
      <c r="C120" s="209"/>
      <c r="D120" s="296"/>
      <c r="E120" s="209"/>
      <c r="F120" s="296"/>
      <c r="G120" s="147"/>
      <c r="H120" s="240">
        <f t="shared" si="18"/>
        <v>0</v>
      </c>
      <c r="I120" s="296"/>
      <c r="J120" s="147"/>
      <c r="K120" s="296"/>
      <c r="L120" s="147"/>
      <c r="M120" s="296"/>
      <c r="N120" s="147"/>
      <c r="O120" s="240">
        <f t="shared" si="19"/>
        <v>0</v>
      </c>
      <c r="P120" s="296"/>
      <c r="Q120" s="147"/>
      <c r="R120" s="296"/>
      <c r="S120" s="147"/>
      <c r="T120" s="296"/>
      <c r="U120" s="147"/>
      <c r="V120" s="240">
        <f t="shared" si="20"/>
        <v>0</v>
      </c>
      <c r="W120" s="296"/>
      <c r="X120" s="147"/>
      <c r="Y120" s="296"/>
      <c r="Z120" s="147"/>
      <c r="AA120" s="296"/>
      <c r="AB120" s="147"/>
      <c r="AC120" s="240">
        <f t="shared" si="21"/>
        <v>0</v>
      </c>
      <c r="AD120" s="146"/>
      <c r="AE120" s="240"/>
    </row>
    <row r="121" spans="1:31" s="148" customFormat="1" ht="10.5" customHeight="1" hidden="1" outlineLevel="1">
      <c r="A121" s="145" t="s">
        <v>108</v>
      </c>
      <c r="B121" s="324"/>
      <c r="C121" s="209"/>
      <c r="D121" s="291"/>
      <c r="E121" s="209"/>
      <c r="F121" s="291"/>
      <c r="G121" s="147"/>
      <c r="H121" s="240">
        <f t="shared" si="18"/>
        <v>0</v>
      </c>
      <c r="I121" s="291"/>
      <c r="J121" s="147"/>
      <c r="K121" s="291"/>
      <c r="L121" s="147"/>
      <c r="M121" s="291"/>
      <c r="N121" s="147"/>
      <c r="O121" s="240">
        <f t="shared" si="19"/>
        <v>0</v>
      </c>
      <c r="P121" s="291"/>
      <c r="Q121" s="147"/>
      <c r="R121" s="291"/>
      <c r="S121" s="147"/>
      <c r="T121" s="291"/>
      <c r="U121" s="147"/>
      <c r="V121" s="240">
        <f t="shared" si="20"/>
        <v>0</v>
      </c>
      <c r="W121" s="291"/>
      <c r="X121" s="147"/>
      <c r="Y121" s="291"/>
      <c r="Z121" s="147"/>
      <c r="AA121" s="291"/>
      <c r="AB121" s="147"/>
      <c r="AC121" s="240">
        <f t="shared" si="21"/>
        <v>0</v>
      </c>
      <c r="AD121" s="149"/>
      <c r="AE121" s="240"/>
    </row>
    <row r="122" spans="1:31" s="148" customFormat="1" ht="10.5" customHeight="1" hidden="1" outlineLevel="1">
      <c r="A122" s="145" t="s">
        <v>109</v>
      </c>
      <c r="B122" s="324"/>
      <c r="C122" s="209"/>
      <c r="D122" s="291"/>
      <c r="E122" s="209"/>
      <c r="F122" s="291"/>
      <c r="G122" s="147"/>
      <c r="H122" s="240">
        <f t="shared" si="18"/>
        <v>0</v>
      </c>
      <c r="I122" s="291"/>
      <c r="J122" s="147"/>
      <c r="K122" s="291"/>
      <c r="L122" s="147"/>
      <c r="M122" s="291"/>
      <c r="N122" s="147"/>
      <c r="O122" s="240">
        <f t="shared" si="19"/>
        <v>0</v>
      </c>
      <c r="P122" s="291"/>
      <c r="Q122" s="147"/>
      <c r="R122" s="291"/>
      <c r="S122" s="147"/>
      <c r="T122" s="291"/>
      <c r="U122" s="147"/>
      <c r="V122" s="240">
        <f t="shared" si="20"/>
        <v>0</v>
      </c>
      <c r="W122" s="291"/>
      <c r="X122" s="147"/>
      <c r="Y122" s="291"/>
      <c r="Z122" s="147"/>
      <c r="AA122" s="291"/>
      <c r="AB122" s="147"/>
      <c r="AC122" s="240">
        <f t="shared" si="21"/>
        <v>0</v>
      </c>
      <c r="AD122" s="149"/>
      <c r="AE122" s="240"/>
    </row>
    <row r="123" spans="1:31" s="148" customFormat="1" ht="10.5" customHeight="1" hidden="1" outlineLevel="1">
      <c r="A123" s="145" t="s">
        <v>110</v>
      </c>
      <c r="B123" s="324"/>
      <c r="C123" s="209"/>
      <c r="D123" s="291"/>
      <c r="E123" s="209"/>
      <c r="F123" s="291"/>
      <c r="G123" s="147"/>
      <c r="H123" s="240">
        <f t="shared" si="18"/>
        <v>0</v>
      </c>
      <c r="I123" s="291"/>
      <c r="J123" s="147"/>
      <c r="K123" s="291"/>
      <c r="L123" s="147"/>
      <c r="M123" s="291"/>
      <c r="N123" s="147"/>
      <c r="O123" s="240">
        <f t="shared" si="19"/>
        <v>0</v>
      </c>
      <c r="P123" s="291"/>
      <c r="Q123" s="147"/>
      <c r="R123" s="291"/>
      <c r="S123" s="147"/>
      <c r="T123" s="291"/>
      <c r="U123" s="147"/>
      <c r="V123" s="240">
        <f t="shared" si="20"/>
        <v>0</v>
      </c>
      <c r="W123" s="291"/>
      <c r="X123" s="147"/>
      <c r="Y123" s="291"/>
      <c r="Z123" s="147"/>
      <c r="AA123" s="291"/>
      <c r="AB123" s="147"/>
      <c r="AC123" s="240">
        <f t="shared" si="21"/>
        <v>0</v>
      </c>
      <c r="AD123" s="149"/>
      <c r="AE123" s="240"/>
    </row>
    <row r="124" spans="1:31" s="148" customFormat="1" ht="10.5" customHeight="1" hidden="1" outlineLevel="1">
      <c r="A124" s="145" t="s">
        <v>111</v>
      </c>
      <c r="B124" s="329"/>
      <c r="C124" s="209"/>
      <c r="D124" s="296"/>
      <c r="E124" s="209"/>
      <c r="F124" s="296"/>
      <c r="G124" s="147"/>
      <c r="H124" s="240">
        <f t="shared" si="18"/>
        <v>0</v>
      </c>
      <c r="I124" s="296"/>
      <c r="J124" s="147"/>
      <c r="K124" s="296"/>
      <c r="L124" s="147"/>
      <c r="M124" s="296"/>
      <c r="N124" s="147"/>
      <c r="O124" s="240">
        <f t="shared" si="19"/>
        <v>0</v>
      </c>
      <c r="P124" s="296"/>
      <c r="Q124" s="147"/>
      <c r="R124" s="296"/>
      <c r="S124" s="147"/>
      <c r="T124" s="296"/>
      <c r="U124" s="147"/>
      <c r="V124" s="240">
        <f t="shared" si="20"/>
        <v>0</v>
      </c>
      <c r="W124" s="296"/>
      <c r="X124" s="147"/>
      <c r="Y124" s="296"/>
      <c r="Z124" s="147"/>
      <c r="AA124" s="296"/>
      <c r="AB124" s="147"/>
      <c r="AC124" s="240">
        <f t="shared" si="21"/>
        <v>0</v>
      </c>
      <c r="AD124" s="146"/>
      <c r="AE124" s="240"/>
    </row>
    <row r="125" spans="1:31" s="171" customFormat="1" ht="10.5" customHeight="1" hidden="1" outlineLevel="1" thickBot="1">
      <c r="A125" s="168" t="s">
        <v>113</v>
      </c>
      <c r="B125" s="333"/>
      <c r="C125" s="212"/>
      <c r="D125" s="300"/>
      <c r="E125" s="212"/>
      <c r="F125" s="300"/>
      <c r="G125" s="169"/>
      <c r="H125" s="244">
        <f t="shared" si="18"/>
        <v>0</v>
      </c>
      <c r="I125" s="300"/>
      <c r="J125" s="169"/>
      <c r="K125" s="300"/>
      <c r="L125" s="169"/>
      <c r="M125" s="300"/>
      <c r="N125" s="169"/>
      <c r="O125" s="244">
        <f t="shared" si="19"/>
        <v>0</v>
      </c>
      <c r="P125" s="300"/>
      <c r="Q125" s="169"/>
      <c r="R125" s="300"/>
      <c r="S125" s="169"/>
      <c r="T125" s="300"/>
      <c r="U125" s="169"/>
      <c r="V125" s="244">
        <f t="shared" si="20"/>
        <v>0</v>
      </c>
      <c r="W125" s="300"/>
      <c r="X125" s="169"/>
      <c r="Y125" s="300"/>
      <c r="Z125" s="169"/>
      <c r="AA125" s="300"/>
      <c r="AB125" s="169"/>
      <c r="AC125" s="244">
        <f t="shared" si="21"/>
        <v>0</v>
      </c>
      <c r="AD125" s="170"/>
      <c r="AE125" s="244"/>
    </row>
    <row r="126" spans="1:31" s="144" customFormat="1" ht="14.25" customHeight="1" hidden="1" outlineLevel="1">
      <c r="A126" s="156" t="s">
        <v>26</v>
      </c>
      <c r="B126" s="324"/>
      <c r="C126" s="15"/>
      <c r="D126" s="291"/>
      <c r="E126" s="15"/>
      <c r="F126" s="291"/>
      <c r="G126" s="157"/>
      <c r="H126" s="235">
        <f t="shared" si="18"/>
        <v>0</v>
      </c>
      <c r="I126" s="291"/>
      <c r="J126" s="157"/>
      <c r="K126" s="291"/>
      <c r="L126" s="157"/>
      <c r="M126" s="291"/>
      <c r="N126" s="157"/>
      <c r="O126" s="235">
        <f t="shared" si="19"/>
        <v>0</v>
      </c>
      <c r="P126" s="291"/>
      <c r="Q126" s="157"/>
      <c r="R126" s="291"/>
      <c r="S126" s="157"/>
      <c r="T126" s="291"/>
      <c r="U126" s="157"/>
      <c r="V126" s="235">
        <f t="shared" si="20"/>
        <v>0</v>
      </c>
      <c r="W126" s="291"/>
      <c r="X126" s="157"/>
      <c r="Y126" s="291"/>
      <c r="Z126" s="157"/>
      <c r="AA126" s="291"/>
      <c r="AB126" s="157"/>
      <c r="AC126" s="235">
        <f t="shared" si="21"/>
        <v>0</v>
      </c>
      <c r="AD126" s="149"/>
      <c r="AE126" s="235"/>
    </row>
    <row r="127" spans="1:31" s="148" customFormat="1" ht="10.5" customHeight="1" hidden="1" outlineLevel="1">
      <c r="A127" s="145" t="s">
        <v>106</v>
      </c>
      <c r="B127" s="329"/>
      <c r="C127" s="209"/>
      <c r="D127" s="296"/>
      <c r="E127" s="209"/>
      <c r="F127" s="296"/>
      <c r="G127" s="147"/>
      <c r="H127" s="240">
        <f t="shared" si="18"/>
        <v>0</v>
      </c>
      <c r="I127" s="296"/>
      <c r="J127" s="147"/>
      <c r="K127" s="296"/>
      <c r="L127" s="147"/>
      <c r="M127" s="296"/>
      <c r="N127" s="147"/>
      <c r="O127" s="240">
        <f t="shared" si="19"/>
        <v>0</v>
      </c>
      <c r="P127" s="296"/>
      <c r="Q127" s="147"/>
      <c r="R127" s="296"/>
      <c r="S127" s="147"/>
      <c r="T127" s="296"/>
      <c r="U127" s="147"/>
      <c r="V127" s="240">
        <f t="shared" si="20"/>
        <v>0</v>
      </c>
      <c r="W127" s="296"/>
      <c r="X127" s="147"/>
      <c r="Y127" s="296"/>
      <c r="Z127" s="147"/>
      <c r="AA127" s="296"/>
      <c r="AB127" s="147"/>
      <c r="AC127" s="240">
        <f t="shared" si="21"/>
        <v>0</v>
      </c>
      <c r="AD127" s="146"/>
      <c r="AE127" s="240"/>
    </row>
    <row r="128" spans="1:31" s="148" customFormat="1" ht="10.5" customHeight="1" hidden="1" outlineLevel="1">
      <c r="A128" s="145" t="s">
        <v>112</v>
      </c>
      <c r="B128" s="329"/>
      <c r="C128" s="209"/>
      <c r="D128" s="296"/>
      <c r="E128" s="209"/>
      <c r="F128" s="296"/>
      <c r="G128" s="147"/>
      <c r="H128" s="240">
        <f t="shared" si="18"/>
        <v>0</v>
      </c>
      <c r="I128" s="296"/>
      <c r="J128" s="147"/>
      <c r="K128" s="296"/>
      <c r="L128" s="147"/>
      <c r="M128" s="296"/>
      <c r="N128" s="147"/>
      <c r="O128" s="240">
        <f t="shared" si="19"/>
        <v>0</v>
      </c>
      <c r="P128" s="296"/>
      <c r="Q128" s="147"/>
      <c r="R128" s="296"/>
      <c r="S128" s="147"/>
      <c r="T128" s="296"/>
      <c r="U128" s="147"/>
      <c r="V128" s="240">
        <f t="shared" si="20"/>
        <v>0</v>
      </c>
      <c r="W128" s="296"/>
      <c r="X128" s="147"/>
      <c r="Y128" s="296"/>
      <c r="Z128" s="147"/>
      <c r="AA128" s="296"/>
      <c r="AB128" s="147"/>
      <c r="AC128" s="240">
        <f t="shared" si="21"/>
        <v>0</v>
      </c>
      <c r="AD128" s="146"/>
      <c r="AE128" s="240"/>
    </row>
    <row r="129" spans="1:31" s="148" customFormat="1" ht="10.5" customHeight="1" hidden="1" outlineLevel="1">
      <c r="A129" s="145" t="s">
        <v>107</v>
      </c>
      <c r="B129" s="329"/>
      <c r="C129" s="209"/>
      <c r="D129" s="296"/>
      <c r="E129" s="209"/>
      <c r="F129" s="296"/>
      <c r="G129" s="147"/>
      <c r="H129" s="240">
        <f t="shared" si="18"/>
        <v>0</v>
      </c>
      <c r="I129" s="296"/>
      <c r="J129" s="147"/>
      <c r="K129" s="296"/>
      <c r="L129" s="147"/>
      <c r="M129" s="296"/>
      <c r="N129" s="147"/>
      <c r="O129" s="240">
        <f t="shared" si="19"/>
        <v>0</v>
      </c>
      <c r="P129" s="296"/>
      <c r="Q129" s="147"/>
      <c r="R129" s="296"/>
      <c r="S129" s="147"/>
      <c r="T129" s="296"/>
      <c r="U129" s="147"/>
      <c r="V129" s="240">
        <f t="shared" si="20"/>
        <v>0</v>
      </c>
      <c r="W129" s="296"/>
      <c r="X129" s="147"/>
      <c r="Y129" s="296"/>
      <c r="Z129" s="147"/>
      <c r="AA129" s="296"/>
      <c r="AB129" s="147"/>
      <c r="AC129" s="240">
        <f t="shared" si="21"/>
        <v>0</v>
      </c>
      <c r="AD129" s="146"/>
      <c r="AE129" s="240"/>
    </row>
    <row r="130" spans="1:31" s="148" customFormat="1" ht="10.5" customHeight="1" hidden="1" outlineLevel="1">
      <c r="A130" s="145" t="s">
        <v>108</v>
      </c>
      <c r="B130" s="324"/>
      <c r="C130" s="209"/>
      <c r="D130" s="291"/>
      <c r="E130" s="209"/>
      <c r="F130" s="291"/>
      <c r="G130" s="147"/>
      <c r="H130" s="240">
        <f aca="true" t="shared" si="22" ref="H130:H189">C130+E130+G130</f>
        <v>0</v>
      </c>
      <c r="I130" s="291"/>
      <c r="J130" s="147"/>
      <c r="K130" s="291"/>
      <c r="L130" s="147"/>
      <c r="M130" s="291"/>
      <c r="N130" s="147"/>
      <c r="O130" s="240">
        <f aca="true" t="shared" si="23" ref="O130:O189">J130+L130+N130</f>
        <v>0</v>
      </c>
      <c r="P130" s="291"/>
      <c r="Q130" s="147"/>
      <c r="R130" s="291"/>
      <c r="S130" s="147"/>
      <c r="T130" s="291"/>
      <c r="U130" s="147"/>
      <c r="V130" s="240">
        <f aca="true" t="shared" si="24" ref="V130:V189">Q130+S130+U130</f>
        <v>0</v>
      </c>
      <c r="W130" s="291"/>
      <c r="X130" s="147"/>
      <c r="Y130" s="291"/>
      <c r="Z130" s="147"/>
      <c r="AA130" s="291"/>
      <c r="AB130" s="147"/>
      <c r="AC130" s="240">
        <f t="shared" si="21"/>
        <v>0</v>
      </c>
      <c r="AD130" s="149"/>
      <c r="AE130" s="240"/>
    </row>
    <row r="131" spans="1:31" s="148" customFormat="1" ht="10.5" customHeight="1" hidden="1" outlineLevel="1">
      <c r="A131" s="145" t="s">
        <v>109</v>
      </c>
      <c r="B131" s="324"/>
      <c r="C131" s="209"/>
      <c r="D131" s="291"/>
      <c r="E131" s="209"/>
      <c r="F131" s="291"/>
      <c r="G131" s="147"/>
      <c r="H131" s="240">
        <f t="shared" si="22"/>
        <v>0</v>
      </c>
      <c r="I131" s="291"/>
      <c r="J131" s="147"/>
      <c r="K131" s="291"/>
      <c r="L131" s="147"/>
      <c r="M131" s="291"/>
      <c r="N131" s="147"/>
      <c r="O131" s="240">
        <f t="shared" si="23"/>
        <v>0</v>
      </c>
      <c r="P131" s="291"/>
      <c r="Q131" s="147"/>
      <c r="R131" s="291"/>
      <c r="S131" s="147"/>
      <c r="T131" s="291"/>
      <c r="U131" s="147"/>
      <c r="V131" s="240">
        <f t="shared" si="24"/>
        <v>0</v>
      </c>
      <c r="W131" s="291"/>
      <c r="X131" s="147"/>
      <c r="Y131" s="291"/>
      <c r="Z131" s="147"/>
      <c r="AA131" s="291"/>
      <c r="AB131" s="147"/>
      <c r="AC131" s="240">
        <f t="shared" si="21"/>
        <v>0</v>
      </c>
      <c r="AD131" s="149"/>
      <c r="AE131" s="240"/>
    </row>
    <row r="132" spans="1:31" s="148" customFormat="1" ht="10.5" customHeight="1" hidden="1" outlineLevel="1">
      <c r="A132" s="145" t="s">
        <v>110</v>
      </c>
      <c r="B132" s="324"/>
      <c r="C132" s="209"/>
      <c r="D132" s="291"/>
      <c r="E132" s="209"/>
      <c r="F132" s="291"/>
      <c r="G132" s="147"/>
      <c r="H132" s="240">
        <f t="shared" si="22"/>
        <v>0</v>
      </c>
      <c r="I132" s="291"/>
      <c r="J132" s="147"/>
      <c r="K132" s="291"/>
      <c r="L132" s="147"/>
      <c r="M132" s="291"/>
      <c r="N132" s="147"/>
      <c r="O132" s="240">
        <f t="shared" si="23"/>
        <v>0</v>
      </c>
      <c r="P132" s="291"/>
      <c r="Q132" s="147"/>
      <c r="R132" s="291"/>
      <c r="S132" s="147"/>
      <c r="T132" s="291"/>
      <c r="U132" s="147"/>
      <c r="V132" s="240">
        <f t="shared" si="24"/>
        <v>0</v>
      </c>
      <c r="W132" s="291"/>
      <c r="X132" s="147"/>
      <c r="Y132" s="291"/>
      <c r="Z132" s="147"/>
      <c r="AA132" s="291"/>
      <c r="AB132" s="147"/>
      <c r="AC132" s="240">
        <f t="shared" si="21"/>
        <v>0</v>
      </c>
      <c r="AD132" s="149"/>
      <c r="AE132" s="240"/>
    </row>
    <row r="133" spans="1:31" s="148" customFormat="1" ht="10.5" customHeight="1" hidden="1" outlineLevel="1">
      <c r="A133" s="145" t="s">
        <v>111</v>
      </c>
      <c r="B133" s="329"/>
      <c r="C133" s="209"/>
      <c r="D133" s="296"/>
      <c r="E133" s="209"/>
      <c r="F133" s="296"/>
      <c r="G133" s="147"/>
      <c r="H133" s="240">
        <f t="shared" si="22"/>
        <v>0</v>
      </c>
      <c r="I133" s="296"/>
      <c r="J133" s="147"/>
      <c r="K133" s="296"/>
      <c r="L133" s="147"/>
      <c r="M133" s="296"/>
      <c r="N133" s="147"/>
      <c r="O133" s="240">
        <f t="shared" si="23"/>
        <v>0</v>
      </c>
      <c r="P133" s="296"/>
      <c r="Q133" s="147"/>
      <c r="R133" s="296"/>
      <c r="S133" s="147"/>
      <c r="T133" s="296"/>
      <c r="U133" s="147"/>
      <c r="V133" s="240">
        <f t="shared" si="24"/>
        <v>0</v>
      </c>
      <c r="W133" s="296"/>
      <c r="X133" s="147"/>
      <c r="Y133" s="296"/>
      <c r="Z133" s="147"/>
      <c r="AA133" s="296"/>
      <c r="AB133" s="147"/>
      <c r="AC133" s="240">
        <f t="shared" si="21"/>
        <v>0</v>
      </c>
      <c r="AD133" s="146"/>
      <c r="AE133" s="240"/>
    </row>
    <row r="134" spans="1:31" s="171" customFormat="1" ht="10.5" customHeight="1" hidden="1" outlineLevel="1" thickBot="1">
      <c r="A134" s="168" t="s">
        <v>113</v>
      </c>
      <c r="B134" s="333">
        <f>B126-B127-B132</f>
        <v>0</v>
      </c>
      <c r="C134" s="212"/>
      <c r="D134" s="300">
        <f>D126-D127-D132</f>
        <v>0</v>
      </c>
      <c r="E134" s="212"/>
      <c r="F134" s="300">
        <f>F126-F127-F132</f>
        <v>0</v>
      </c>
      <c r="G134" s="169"/>
      <c r="H134" s="244">
        <f t="shared" si="22"/>
        <v>0</v>
      </c>
      <c r="I134" s="300">
        <f>I126-I127-I132</f>
        <v>0</v>
      </c>
      <c r="J134" s="169"/>
      <c r="K134" s="300">
        <f>K126-K127-K132</f>
        <v>0</v>
      </c>
      <c r="L134" s="169"/>
      <c r="M134" s="300">
        <f>M126-M127-M132</f>
        <v>0</v>
      </c>
      <c r="N134" s="169"/>
      <c r="O134" s="244">
        <f t="shared" si="23"/>
        <v>0</v>
      </c>
      <c r="P134" s="300">
        <f>P126-P127-P132</f>
        <v>0</v>
      </c>
      <c r="Q134" s="169"/>
      <c r="R134" s="300">
        <f>R126-R127-R132</f>
        <v>0</v>
      </c>
      <c r="S134" s="169"/>
      <c r="T134" s="300">
        <f>T126-T127-T132</f>
        <v>0</v>
      </c>
      <c r="U134" s="169"/>
      <c r="V134" s="244">
        <f t="shared" si="24"/>
        <v>0</v>
      </c>
      <c r="W134" s="300">
        <f>W126-W127-W132</f>
        <v>0</v>
      </c>
      <c r="X134" s="169"/>
      <c r="Y134" s="300">
        <f>Y126-Y127-Y132</f>
        <v>0</v>
      </c>
      <c r="Z134" s="169"/>
      <c r="AA134" s="300">
        <f>AA126-AA127-AA132</f>
        <v>0</v>
      </c>
      <c r="AB134" s="169"/>
      <c r="AC134" s="244">
        <f t="shared" si="21"/>
        <v>0</v>
      </c>
      <c r="AD134" s="170">
        <f>AD126-AD127-AD132</f>
        <v>0</v>
      </c>
      <c r="AE134" s="244"/>
    </row>
    <row r="135" spans="1:31" s="161" customFormat="1" ht="29.25" hidden="1" outlineLevel="1">
      <c r="A135" s="158" t="s">
        <v>115</v>
      </c>
      <c r="B135" s="325"/>
      <c r="C135" s="38"/>
      <c r="D135" s="292"/>
      <c r="E135" s="38"/>
      <c r="F135" s="292"/>
      <c r="G135" s="159"/>
      <c r="H135" s="236">
        <f t="shared" si="22"/>
        <v>0</v>
      </c>
      <c r="I135" s="292"/>
      <c r="J135" s="159"/>
      <c r="K135" s="292"/>
      <c r="L135" s="159"/>
      <c r="M135" s="292"/>
      <c r="N135" s="159"/>
      <c r="O135" s="236">
        <f t="shared" si="23"/>
        <v>0</v>
      </c>
      <c r="P135" s="292"/>
      <c r="Q135" s="159"/>
      <c r="R135" s="292"/>
      <c r="S135" s="159"/>
      <c r="T135" s="292"/>
      <c r="U135" s="159"/>
      <c r="V135" s="236">
        <f t="shared" si="24"/>
        <v>0</v>
      </c>
      <c r="W135" s="292"/>
      <c r="X135" s="159"/>
      <c r="Y135" s="292"/>
      <c r="Z135" s="159"/>
      <c r="AA135" s="292"/>
      <c r="AB135" s="159"/>
      <c r="AC135" s="236">
        <f t="shared" si="21"/>
        <v>0</v>
      </c>
      <c r="AD135" s="160"/>
      <c r="AE135" s="236"/>
    </row>
    <row r="136" spans="1:31" s="171" customFormat="1" ht="10.5" customHeight="1" collapsed="1">
      <c r="A136" s="172" t="s">
        <v>114</v>
      </c>
      <c r="B136" s="334"/>
      <c r="C136" s="213"/>
      <c r="D136" s="301"/>
      <c r="E136" s="213"/>
      <c r="F136" s="301"/>
      <c r="G136" s="173"/>
      <c r="H136" s="245">
        <f t="shared" si="22"/>
        <v>0</v>
      </c>
      <c r="I136" s="301"/>
      <c r="J136" s="173"/>
      <c r="K136" s="301"/>
      <c r="L136" s="173"/>
      <c r="M136" s="301"/>
      <c r="N136" s="173"/>
      <c r="O136" s="245">
        <f t="shared" si="23"/>
        <v>0</v>
      </c>
      <c r="P136" s="352"/>
      <c r="Q136" s="173"/>
      <c r="R136" s="352"/>
      <c r="S136" s="173"/>
      <c r="T136" s="352"/>
      <c r="U136" s="173"/>
      <c r="V136" s="245">
        <f t="shared" si="24"/>
        <v>0</v>
      </c>
      <c r="W136" s="352"/>
      <c r="X136" s="173"/>
      <c r="Y136" s="352"/>
      <c r="Z136" s="173"/>
      <c r="AA136" s="352"/>
      <c r="AB136" s="173"/>
      <c r="AC136" s="245">
        <f t="shared" si="21"/>
        <v>0</v>
      </c>
      <c r="AD136" s="174"/>
      <c r="AE136" s="245"/>
    </row>
    <row r="137" spans="1:31" s="132" customFormat="1" ht="15">
      <c r="A137" s="130" t="s">
        <v>14</v>
      </c>
      <c r="B137" s="335">
        <f>B19+B24</f>
        <v>0</v>
      </c>
      <c r="C137" s="131">
        <f>C19+C24</f>
        <v>0</v>
      </c>
      <c r="D137" s="302">
        <f aca="true" t="shared" si="25" ref="D137:AE137">D19+D24</f>
        <v>0</v>
      </c>
      <c r="E137" s="131">
        <f t="shared" si="25"/>
        <v>0</v>
      </c>
      <c r="F137" s="302">
        <f t="shared" si="25"/>
        <v>0</v>
      </c>
      <c r="G137" s="131">
        <f t="shared" si="25"/>
        <v>16964.85</v>
      </c>
      <c r="H137" s="268">
        <f t="shared" si="25"/>
        <v>16964.85</v>
      </c>
      <c r="I137" s="302">
        <f t="shared" si="25"/>
        <v>60000</v>
      </c>
      <c r="J137" s="131">
        <f t="shared" si="25"/>
        <v>10703.65</v>
      </c>
      <c r="K137" s="302">
        <f t="shared" si="25"/>
        <v>0</v>
      </c>
      <c r="L137" s="131">
        <f t="shared" si="25"/>
        <v>4053</v>
      </c>
      <c r="M137" s="302">
        <f t="shared" si="25"/>
        <v>0</v>
      </c>
      <c r="N137" s="131">
        <f t="shared" si="25"/>
        <v>213229</v>
      </c>
      <c r="O137" s="246">
        <f t="shared" si="25"/>
        <v>227985.65</v>
      </c>
      <c r="P137" s="302">
        <f t="shared" si="25"/>
        <v>0</v>
      </c>
      <c r="Q137" s="131">
        <f t="shared" si="25"/>
        <v>3919</v>
      </c>
      <c r="R137" s="302">
        <f t="shared" si="25"/>
        <v>0</v>
      </c>
      <c r="S137" s="131">
        <f t="shared" si="25"/>
        <v>3919</v>
      </c>
      <c r="T137" s="302">
        <f t="shared" si="25"/>
        <v>0</v>
      </c>
      <c r="U137" s="131">
        <f t="shared" si="25"/>
        <v>3919</v>
      </c>
      <c r="V137" s="246">
        <f t="shared" si="25"/>
        <v>11757</v>
      </c>
      <c r="W137" s="302">
        <f t="shared" si="25"/>
        <v>0</v>
      </c>
      <c r="X137" s="131">
        <f t="shared" si="25"/>
        <v>0</v>
      </c>
      <c r="Y137" s="302">
        <f t="shared" si="25"/>
        <v>0</v>
      </c>
      <c r="Z137" s="131">
        <f t="shared" si="25"/>
        <v>0</v>
      </c>
      <c r="AA137" s="302">
        <f t="shared" si="25"/>
        <v>0</v>
      </c>
      <c r="AB137" s="131">
        <f t="shared" si="25"/>
        <v>0</v>
      </c>
      <c r="AC137" s="246">
        <f t="shared" si="25"/>
        <v>0</v>
      </c>
      <c r="AD137" s="133">
        <f t="shared" si="25"/>
        <v>0</v>
      </c>
      <c r="AE137" s="246">
        <f t="shared" si="25"/>
        <v>256707.5</v>
      </c>
    </row>
    <row r="138" spans="1:31" s="227" customFormat="1" ht="12.75" customHeight="1">
      <c r="A138" s="225" t="s">
        <v>3</v>
      </c>
      <c r="B138" s="323" t="e">
        <f aca="true" t="shared" si="26" ref="B138:G138">B137/B4</f>
        <v>#DIV/0!</v>
      </c>
      <c r="C138" s="207">
        <f t="shared" si="26"/>
        <v>0</v>
      </c>
      <c r="D138" s="290" t="e">
        <f t="shared" si="26"/>
        <v>#DIV/0!</v>
      </c>
      <c r="E138" s="207" t="e">
        <f t="shared" si="26"/>
        <v>#DIV/0!</v>
      </c>
      <c r="F138" s="290" t="e">
        <f t="shared" si="26"/>
        <v>#DIV/0!</v>
      </c>
      <c r="G138" s="207" t="e">
        <f t="shared" si="26"/>
        <v>#DIV/0!</v>
      </c>
      <c r="H138" s="257" t="e">
        <f t="shared" si="22"/>
        <v>#DIV/0!</v>
      </c>
      <c r="I138" s="290" t="e">
        <f aca="true" t="shared" si="27" ref="I138:N138">I137/I4</f>
        <v>#DIV/0!</v>
      </c>
      <c r="J138" s="207" t="e">
        <f t="shared" si="27"/>
        <v>#DIV/0!</v>
      </c>
      <c r="K138" s="290" t="e">
        <f t="shared" si="27"/>
        <v>#DIV/0!</v>
      </c>
      <c r="L138" s="207" t="e">
        <f t="shared" si="27"/>
        <v>#DIV/0!</v>
      </c>
      <c r="M138" s="290" t="e">
        <f t="shared" si="27"/>
        <v>#DIV/0!</v>
      </c>
      <c r="N138" s="207" t="e">
        <f t="shared" si="27"/>
        <v>#DIV/0!</v>
      </c>
      <c r="O138" s="257" t="e">
        <f t="shared" si="23"/>
        <v>#DIV/0!</v>
      </c>
      <c r="P138" s="290" t="e">
        <f aca="true" t="shared" si="28" ref="P138:U138">P137/P4</f>
        <v>#DIV/0!</v>
      </c>
      <c r="Q138" s="207" t="e">
        <f t="shared" si="28"/>
        <v>#DIV/0!</v>
      </c>
      <c r="R138" s="290" t="e">
        <f t="shared" si="28"/>
        <v>#DIV/0!</v>
      </c>
      <c r="S138" s="207" t="e">
        <f t="shared" si="28"/>
        <v>#DIV/0!</v>
      </c>
      <c r="T138" s="290" t="e">
        <f t="shared" si="28"/>
        <v>#DIV/0!</v>
      </c>
      <c r="U138" s="207" t="e">
        <f t="shared" si="28"/>
        <v>#DIV/0!</v>
      </c>
      <c r="V138" s="257" t="e">
        <f t="shared" si="24"/>
        <v>#DIV/0!</v>
      </c>
      <c r="W138" s="290" t="e">
        <f aca="true" t="shared" si="29" ref="W138:AB138">W137/W4</f>
        <v>#DIV/0!</v>
      </c>
      <c r="X138" s="207" t="e">
        <f t="shared" si="29"/>
        <v>#DIV/0!</v>
      </c>
      <c r="Y138" s="290" t="e">
        <f t="shared" si="29"/>
        <v>#DIV/0!</v>
      </c>
      <c r="Z138" s="207" t="e">
        <f t="shared" si="29"/>
        <v>#DIV/0!</v>
      </c>
      <c r="AA138" s="290" t="e">
        <f t="shared" si="29"/>
        <v>#DIV/0!</v>
      </c>
      <c r="AB138" s="207" t="e">
        <f t="shared" si="29"/>
        <v>#DIV/0!</v>
      </c>
      <c r="AC138" s="257" t="e">
        <f aca="true" t="shared" si="30" ref="AC138:AC163">X138+Z138+AB138</f>
        <v>#DIV/0!</v>
      </c>
      <c r="AD138" s="226">
        <v>0.0414</v>
      </c>
      <c r="AE138" s="257"/>
    </row>
    <row r="139" spans="1:31" s="185" customFormat="1" ht="14.25" customHeight="1" outlineLevel="1">
      <c r="A139" s="182" t="s">
        <v>126</v>
      </c>
      <c r="B139" s="336">
        <f aca="true" t="shared" si="31" ref="B139:G139">SUM(B140:B152)</f>
        <v>0</v>
      </c>
      <c r="C139" s="183">
        <f t="shared" si="31"/>
        <v>0</v>
      </c>
      <c r="D139" s="303">
        <f t="shared" si="31"/>
        <v>0</v>
      </c>
      <c r="E139" s="183">
        <f t="shared" si="31"/>
        <v>0</v>
      </c>
      <c r="F139" s="303">
        <f t="shared" si="31"/>
        <v>0</v>
      </c>
      <c r="G139" s="183">
        <f t="shared" si="31"/>
        <v>143732</v>
      </c>
      <c r="H139" s="247">
        <f t="shared" si="22"/>
        <v>143732</v>
      </c>
      <c r="I139" s="303">
        <f aca="true" t="shared" si="32" ref="I139:N139">SUM(I140:I152)</f>
        <v>91300</v>
      </c>
      <c r="J139" s="183">
        <f t="shared" si="32"/>
        <v>135944</v>
      </c>
      <c r="K139" s="303">
        <f t="shared" si="32"/>
        <v>0</v>
      </c>
      <c r="L139" s="183">
        <f t="shared" si="32"/>
        <v>783914.31</v>
      </c>
      <c r="M139" s="303">
        <f t="shared" si="32"/>
        <v>0</v>
      </c>
      <c r="N139" s="183">
        <f t="shared" si="32"/>
        <v>62073.64</v>
      </c>
      <c r="O139" s="247">
        <f t="shared" si="23"/>
        <v>981931.9500000001</v>
      </c>
      <c r="P139" s="303">
        <f aca="true" t="shared" si="33" ref="P139:U139">SUM(P140:P152)</f>
        <v>0</v>
      </c>
      <c r="Q139" s="183">
        <f t="shared" si="33"/>
        <v>63526.520000000004</v>
      </c>
      <c r="R139" s="303">
        <f t="shared" si="33"/>
        <v>0</v>
      </c>
      <c r="S139" s="183">
        <f t="shared" si="33"/>
        <v>142580</v>
      </c>
      <c r="T139" s="303">
        <f t="shared" si="33"/>
        <v>0</v>
      </c>
      <c r="U139" s="183">
        <f t="shared" si="33"/>
        <v>100054.59999999999</v>
      </c>
      <c r="V139" s="247">
        <f t="shared" si="24"/>
        <v>306161.12</v>
      </c>
      <c r="W139" s="303">
        <f aca="true" t="shared" si="34" ref="W139:AB139">SUM(W140:W152)</f>
        <v>0</v>
      </c>
      <c r="X139" s="183">
        <f t="shared" si="34"/>
        <v>0</v>
      </c>
      <c r="Y139" s="303">
        <f t="shared" si="34"/>
        <v>0</v>
      </c>
      <c r="Z139" s="183">
        <f t="shared" si="34"/>
        <v>0</v>
      </c>
      <c r="AA139" s="303">
        <f t="shared" si="34"/>
        <v>0</v>
      </c>
      <c r="AB139" s="183">
        <f t="shared" si="34"/>
        <v>0</v>
      </c>
      <c r="AC139" s="247">
        <f t="shared" si="30"/>
        <v>0</v>
      </c>
      <c r="AD139" s="183">
        <f>SUM(AD140:AD152)</f>
        <v>0</v>
      </c>
      <c r="AE139" s="247"/>
    </row>
    <row r="140" spans="1:31" s="54" customFormat="1" ht="14.25" customHeight="1" outlineLevel="1">
      <c r="A140" s="65" t="s">
        <v>7</v>
      </c>
      <c r="B140" s="324"/>
      <c r="C140" s="15"/>
      <c r="D140" s="291"/>
      <c r="E140" s="15"/>
      <c r="F140" s="291"/>
      <c r="G140" s="15"/>
      <c r="H140" s="235">
        <f t="shared" si="22"/>
        <v>0</v>
      </c>
      <c r="I140" s="291"/>
      <c r="J140" s="15"/>
      <c r="K140" s="291"/>
      <c r="L140" s="15"/>
      <c r="M140" s="291"/>
      <c r="N140" s="15"/>
      <c r="O140" s="235">
        <f t="shared" si="23"/>
        <v>0</v>
      </c>
      <c r="P140" s="291"/>
      <c r="Q140" s="15"/>
      <c r="R140" s="291"/>
      <c r="S140" s="15"/>
      <c r="T140" s="291"/>
      <c r="U140" s="15">
        <v>47124</v>
      </c>
      <c r="V140" s="235">
        <f t="shared" si="24"/>
        <v>47124</v>
      </c>
      <c r="W140" s="291"/>
      <c r="X140" s="15"/>
      <c r="Y140" s="291"/>
      <c r="Z140" s="15"/>
      <c r="AA140" s="291"/>
      <c r="AB140" s="15"/>
      <c r="AC140" s="235">
        <f t="shared" si="30"/>
        <v>0</v>
      </c>
      <c r="AD140" s="12"/>
      <c r="AE140" s="235"/>
    </row>
    <row r="141" spans="1:31" s="54" customFormat="1" ht="14.25" customHeight="1" outlineLevel="1">
      <c r="A141" s="65" t="s">
        <v>626</v>
      </c>
      <c r="B141" s="324"/>
      <c r="C141" s="15"/>
      <c r="D141" s="291"/>
      <c r="E141" s="113"/>
      <c r="F141" s="291"/>
      <c r="G141" s="15">
        <f>600+232+500+500+1360+230+460</f>
        <v>3882</v>
      </c>
      <c r="H141" s="235">
        <f>C141+E141+G141</f>
        <v>3882</v>
      </c>
      <c r="I141" s="291">
        <v>3000</v>
      </c>
      <c r="J141" s="15">
        <f>1000+460+690+500+500+750+1380+230+1000+230</f>
        <v>6740</v>
      </c>
      <c r="K141" s="291"/>
      <c r="L141" s="15">
        <f>1200+460+690+500+500+1980+728.31+1000</f>
        <v>7058.3099999999995</v>
      </c>
      <c r="M141" s="291"/>
      <c r="N141" s="113">
        <f>1150+525+230+4900+418.64+230+450+230+230+750+960+1000</f>
        <v>11073.64</v>
      </c>
      <c r="O141" s="235">
        <f>J141+L141+N141</f>
        <v>24871.949999999997</v>
      </c>
      <c r="P141" s="291"/>
      <c r="Q141" s="113">
        <f>485+462.89+1418.63+230+1980</f>
        <v>4576.52</v>
      </c>
      <c r="R141" s="291"/>
      <c r="S141" s="564">
        <f>230+1000+690+460+500+500+920+1200+690</f>
        <v>6190</v>
      </c>
      <c r="T141" s="291"/>
      <c r="U141" s="113">
        <f>500+500+1380+1675+1000+220+220+220+430+430+1000+230+230+1000+3710+795+445.2</f>
        <v>13985.2</v>
      </c>
      <c r="V141" s="235">
        <f>Q141+S141+U141</f>
        <v>24751.72</v>
      </c>
      <c r="W141" s="291"/>
      <c r="X141" s="113"/>
      <c r="Y141" s="291"/>
      <c r="Z141" s="113"/>
      <c r="AA141" s="291"/>
      <c r="AB141" s="113"/>
      <c r="AC141" s="235">
        <f>X141+Z141+AB141</f>
        <v>0</v>
      </c>
      <c r="AD141" s="12"/>
      <c r="AE141" s="235"/>
    </row>
    <row r="142" spans="1:31" s="54" customFormat="1" ht="14.25" customHeight="1" outlineLevel="1">
      <c r="A142" s="65" t="s">
        <v>32</v>
      </c>
      <c r="B142" s="324"/>
      <c r="C142" s="15"/>
      <c r="D142" s="291"/>
      <c r="E142" s="15"/>
      <c r="F142" s="291"/>
      <c r="G142" s="15">
        <v>116000</v>
      </c>
      <c r="H142" s="235">
        <f>C142+E142+G142</f>
        <v>116000</v>
      </c>
      <c r="I142" s="291">
        <v>50000</v>
      </c>
      <c r="J142" s="15">
        <v>30000</v>
      </c>
      <c r="K142" s="291"/>
      <c r="L142" s="15">
        <v>40000</v>
      </c>
      <c r="M142" s="291"/>
      <c r="N142" s="113">
        <v>40000</v>
      </c>
      <c r="O142" s="235">
        <f>J142+L142+N142</f>
        <v>110000</v>
      </c>
      <c r="P142" s="291"/>
      <c r="Q142" s="113">
        <v>40000</v>
      </c>
      <c r="R142" s="291"/>
      <c r="S142" s="113">
        <v>60000</v>
      </c>
      <c r="T142" s="291"/>
      <c r="U142" s="113"/>
      <c r="V142" s="235">
        <f>Q142+S142+U142</f>
        <v>100000</v>
      </c>
      <c r="W142" s="291"/>
      <c r="X142" s="113"/>
      <c r="Y142" s="291"/>
      <c r="Z142" s="113"/>
      <c r="AA142" s="291"/>
      <c r="AB142" s="113"/>
      <c r="AC142" s="235">
        <f>X142+Z142+AB142</f>
        <v>0</v>
      </c>
      <c r="AD142" s="12"/>
      <c r="AE142" s="235"/>
    </row>
    <row r="143" spans="1:31" s="54" customFormat="1" ht="14.25" customHeight="1" outlineLevel="1">
      <c r="A143" s="65" t="s">
        <v>8</v>
      </c>
      <c r="B143" s="324"/>
      <c r="C143" s="15"/>
      <c r="D143" s="291"/>
      <c r="E143" s="15"/>
      <c r="F143" s="291"/>
      <c r="G143" s="15">
        <v>9900</v>
      </c>
      <c r="H143" s="235">
        <f t="shared" si="22"/>
        <v>9900</v>
      </c>
      <c r="I143" s="291">
        <v>10000</v>
      </c>
      <c r="J143" s="15">
        <v>11000</v>
      </c>
      <c r="K143" s="291"/>
      <c r="L143" s="15">
        <v>11000</v>
      </c>
      <c r="M143" s="291"/>
      <c r="N143" s="15">
        <v>11000</v>
      </c>
      <c r="O143" s="235">
        <f t="shared" si="23"/>
        <v>33000</v>
      </c>
      <c r="P143" s="291"/>
      <c r="Q143" s="15"/>
      <c r="R143" s="291"/>
      <c r="S143" s="564">
        <f>11000</f>
        <v>11000</v>
      </c>
      <c r="T143" s="291"/>
      <c r="U143" s="15">
        <f>20000+14000</f>
        <v>34000</v>
      </c>
      <c r="V143" s="235">
        <f t="shared" si="24"/>
        <v>45000</v>
      </c>
      <c r="W143" s="291"/>
      <c r="X143" s="15"/>
      <c r="Y143" s="291"/>
      <c r="Z143" s="15"/>
      <c r="AA143" s="291"/>
      <c r="AB143" s="15"/>
      <c r="AC143" s="235">
        <f t="shared" si="30"/>
        <v>0</v>
      </c>
      <c r="AD143" s="12"/>
      <c r="AE143" s="235"/>
    </row>
    <row r="144" spans="1:31" s="54" customFormat="1" ht="14.25" customHeight="1" outlineLevel="1">
      <c r="A144" s="65" t="s">
        <v>9</v>
      </c>
      <c r="B144" s="324"/>
      <c r="C144" s="15"/>
      <c r="D144" s="291"/>
      <c r="E144" s="15"/>
      <c r="F144" s="291"/>
      <c r="G144" s="15"/>
      <c r="H144" s="235">
        <f t="shared" si="22"/>
        <v>0</v>
      </c>
      <c r="I144" s="291">
        <v>20000</v>
      </c>
      <c r="J144" s="15"/>
      <c r="K144" s="291"/>
      <c r="L144" s="15"/>
      <c r="M144" s="291"/>
      <c r="N144" s="15"/>
      <c r="O144" s="235">
        <f t="shared" si="23"/>
        <v>0</v>
      </c>
      <c r="P144" s="291"/>
      <c r="Q144" s="15"/>
      <c r="R144" s="291"/>
      <c r="S144" s="15"/>
      <c r="T144" s="291"/>
      <c r="U144" s="15"/>
      <c r="V144" s="235">
        <f t="shared" si="24"/>
        <v>0</v>
      </c>
      <c r="W144" s="291"/>
      <c r="X144" s="15"/>
      <c r="Y144" s="291"/>
      <c r="Z144" s="15"/>
      <c r="AA144" s="291"/>
      <c r="AB144" s="15"/>
      <c r="AC144" s="235">
        <f t="shared" si="30"/>
        <v>0</v>
      </c>
      <c r="AD144" s="12"/>
      <c r="AE144" s="235"/>
    </row>
    <row r="145" spans="1:31" s="54" customFormat="1" ht="14.25" customHeight="1" outlineLevel="1">
      <c r="A145" s="65" t="s">
        <v>31</v>
      </c>
      <c r="B145" s="324"/>
      <c r="C145" s="15"/>
      <c r="D145" s="291"/>
      <c r="E145" s="15"/>
      <c r="F145" s="291"/>
      <c r="G145" s="15"/>
      <c r="H145" s="235">
        <f t="shared" si="22"/>
        <v>0</v>
      </c>
      <c r="I145" s="291"/>
      <c r="J145" s="15"/>
      <c r="K145" s="291"/>
      <c r="L145" s="15">
        <f>7900</f>
        <v>7900</v>
      </c>
      <c r="M145" s="291"/>
      <c r="N145" s="15"/>
      <c r="O145" s="235">
        <f t="shared" si="23"/>
        <v>7900</v>
      </c>
      <c r="P145" s="291"/>
      <c r="Q145" s="15">
        <f>14100</f>
        <v>14100</v>
      </c>
      <c r="R145" s="291"/>
      <c r="S145" s="15">
        <f>10000</f>
        <v>10000</v>
      </c>
      <c r="T145" s="291"/>
      <c r="U145" s="15"/>
      <c r="V145" s="235">
        <f t="shared" si="24"/>
        <v>24100</v>
      </c>
      <c r="W145" s="291"/>
      <c r="X145" s="15"/>
      <c r="Y145" s="291"/>
      <c r="Z145" s="15"/>
      <c r="AA145" s="291"/>
      <c r="AB145" s="15"/>
      <c r="AC145" s="235">
        <f t="shared" si="30"/>
        <v>0</v>
      </c>
      <c r="AD145" s="12"/>
      <c r="AE145" s="235"/>
    </row>
    <row r="146" spans="1:31" s="54" customFormat="1" ht="14.25" customHeight="1" outlineLevel="1">
      <c r="A146" s="65" t="s">
        <v>628</v>
      </c>
      <c r="B146" s="324"/>
      <c r="C146" s="15"/>
      <c r="D146" s="291"/>
      <c r="E146" s="15"/>
      <c r="F146" s="291"/>
      <c r="G146" s="15"/>
      <c r="H146" s="235"/>
      <c r="I146" s="291">
        <v>3500</v>
      </c>
      <c r="J146" s="15"/>
      <c r="K146" s="291"/>
      <c r="L146" s="15"/>
      <c r="M146" s="291"/>
      <c r="N146" s="15"/>
      <c r="O146" s="235"/>
      <c r="P146" s="291"/>
      <c r="Q146" s="15"/>
      <c r="R146" s="291"/>
      <c r="S146" s="15"/>
      <c r="T146" s="291"/>
      <c r="U146" s="113"/>
      <c r="V146" s="235">
        <f t="shared" si="24"/>
        <v>0</v>
      </c>
      <c r="W146" s="291"/>
      <c r="X146" s="15"/>
      <c r="Y146" s="291"/>
      <c r="Z146" s="15"/>
      <c r="AA146" s="291"/>
      <c r="AB146" s="113"/>
      <c r="AC146" s="235"/>
      <c r="AD146" s="12"/>
      <c r="AE146" s="235"/>
    </row>
    <row r="147" spans="1:31" s="54" customFormat="1" ht="14.25" customHeight="1" outlineLevel="1">
      <c r="A147" s="65" t="s">
        <v>627</v>
      </c>
      <c r="B147" s="324"/>
      <c r="C147" s="15"/>
      <c r="D147" s="291"/>
      <c r="E147" s="15"/>
      <c r="F147" s="291"/>
      <c r="G147" s="15">
        <v>7500</v>
      </c>
      <c r="H147" s="235">
        <f>C147+E147+G147</f>
        <v>7500</v>
      </c>
      <c r="I147" s="291"/>
      <c r="J147" s="15"/>
      <c r="K147" s="291"/>
      <c r="L147" s="15"/>
      <c r="M147" s="291"/>
      <c r="N147" s="15"/>
      <c r="O147" s="235">
        <f>J147+L147+N147</f>
        <v>0</v>
      </c>
      <c r="P147" s="291"/>
      <c r="Q147" s="15"/>
      <c r="R147" s="291"/>
      <c r="S147" s="15"/>
      <c r="T147" s="291"/>
      <c r="U147" s="15"/>
      <c r="V147" s="235">
        <f t="shared" si="24"/>
        <v>0</v>
      </c>
      <c r="W147" s="291"/>
      <c r="X147" s="15"/>
      <c r="Y147" s="291"/>
      <c r="Z147" s="15"/>
      <c r="AA147" s="291"/>
      <c r="AB147" s="15"/>
      <c r="AC147" s="235">
        <f>X147+Z147+AB147</f>
        <v>0</v>
      </c>
      <c r="AD147" s="12"/>
      <c r="AE147" s="235"/>
    </row>
    <row r="148" spans="1:31" s="54" customFormat="1" ht="14.25" customHeight="1" outlineLevel="1">
      <c r="A148" s="65" t="s">
        <v>565</v>
      </c>
      <c r="B148" s="324"/>
      <c r="C148" s="15"/>
      <c r="D148" s="291"/>
      <c r="E148" s="15"/>
      <c r="F148" s="291"/>
      <c r="G148" s="15">
        <v>1600</v>
      </c>
      <c r="H148" s="235">
        <f>C148+E148+G148</f>
        <v>1600</v>
      </c>
      <c r="I148" s="291"/>
      <c r="J148" s="15"/>
      <c r="K148" s="291"/>
      <c r="L148" s="15">
        <v>2220</v>
      </c>
      <c r="M148" s="291"/>
      <c r="N148" s="15"/>
      <c r="O148" s="235"/>
      <c r="P148" s="291"/>
      <c r="Q148" s="15"/>
      <c r="R148" s="291"/>
      <c r="S148" s="15">
        <v>1440</v>
      </c>
      <c r="T148" s="291"/>
      <c r="U148" s="15"/>
      <c r="V148" s="235">
        <f t="shared" si="24"/>
        <v>1440</v>
      </c>
      <c r="W148" s="291"/>
      <c r="X148" s="15"/>
      <c r="Y148" s="291"/>
      <c r="Z148" s="15"/>
      <c r="AA148" s="291"/>
      <c r="AB148" s="15"/>
      <c r="AC148" s="235"/>
      <c r="AD148" s="12"/>
      <c r="AE148" s="235"/>
    </row>
    <row r="149" spans="1:31" s="54" customFormat="1" ht="14.25" customHeight="1" outlineLevel="1">
      <c r="A149" s="65" t="s">
        <v>602</v>
      </c>
      <c r="B149" s="324"/>
      <c r="C149" s="15"/>
      <c r="D149" s="291"/>
      <c r="E149" s="15"/>
      <c r="F149" s="291"/>
      <c r="G149" s="15"/>
      <c r="H149" s="235"/>
      <c r="I149" s="291"/>
      <c r="J149" s="15"/>
      <c r="K149" s="291"/>
      <c r="L149" s="15">
        <v>45000</v>
      </c>
      <c r="M149" s="291"/>
      <c r="N149" s="15"/>
      <c r="O149" s="235"/>
      <c r="P149" s="291"/>
      <c r="Q149" s="15"/>
      <c r="R149" s="291"/>
      <c r="S149" s="15"/>
      <c r="T149" s="291"/>
      <c r="U149" s="15"/>
      <c r="V149" s="235">
        <f t="shared" si="24"/>
        <v>0</v>
      </c>
      <c r="W149" s="291"/>
      <c r="X149" s="15"/>
      <c r="Y149" s="291"/>
      <c r="Z149" s="15"/>
      <c r="AA149" s="291"/>
      <c r="AB149" s="15"/>
      <c r="AC149" s="235"/>
      <c r="AD149" s="12"/>
      <c r="AE149" s="235"/>
    </row>
    <row r="150" spans="1:31" s="54" customFormat="1" ht="14.25" customHeight="1" outlineLevel="1">
      <c r="A150" s="65" t="s">
        <v>136</v>
      </c>
      <c r="B150" s="324"/>
      <c r="C150" s="15"/>
      <c r="D150" s="291"/>
      <c r="E150" s="15"/>
      <c r="F150" s="291"/>
      <c r="G150" s="15">
        <v>4850</v>
      </c>
      <c r="H150" s="235">
        <f>C150+E150+G150</f>
        <v>4850</v>
      </c>
      <c r="I150" s="291">
        <v>4800</v>
      </c>
      <c r="J150" s="15"/>
      <c r="K150" s="291"/>
      <c r="L150" s="15"/>
      <c r="M150" s="291"/>
      <c r="N150" s="15"/>
      <c r="O150" s="235">
        <f>J150+L150+N150</f>
        <v>0</v>
      </c>
      <c r="P150" s="291"/>
      <c r="Q150" s="15">
        <v>4850</v>
      </c>
      <c r="R150" s="291"/>
      <c r="S150" s="15"/>
      <c r="T150" s="291"/>
      <c r="U150" s="113">
        <v>4850</v>
      </c>
      <c r="V150" s="235">
        <f t="shared" si="24"/>
        <v>9700</v>
      </c>
      <c r="W150" s="291"/>
      <c r="X150" s="15"/>
      <c r="Y150" s="291"/>
      <c r="Z150" s="15"/>
      <c r="AA150" s="291"/>
      <c r="AB150" s="113"/>
      <c r="AC150" s="235">
        <f>X150+Z150+AB150</f>
        <v>0</v>
      </c>
      <c r="AD150" s="12"/>
      <c r="AE150" s="235"/>
    </row>
    <row r="151" spans="1:31" s="543" customFormat="1" ht="14.25" customHeight="1" outlineLevel="1">
      <c r="A151" s="537" t="s">
        <v>141</v>
      </c>
      <c r="B151" s="538"/>
      <c r="C151" s="539"/>
      <c r="D151" s="540"/>
      <c r="E151" s="539"/>
      <c r="F151" s="540"/>
      <c r="G151" s="539"/>
      <c r="H151" s="541">
        <f>C151+E151+G151</f>
        <v>0</v>
      </c>
      <c r="I151" s="540"/>
      <c r="J151" s="539">
        <v>88204</v>
      </c>
      <c r="K151" s="540"/>
      <c r="L151" s="539"/>
      <c r="M151" s="540"/>
      <c r="N151" s="539"/>
      <c r="O151" s="541">
        <f>J151+L151+N151</f>
        <v>88204</v>
      </c>
      <c r="P151" s="540"/>
      <c r="Q151" s="539"/>
      <c r="R151" s="540"/>
      <c r="S151" s="539"/>
      <c r="T151" s="540"/>
      <c r="U151" s="539"/>
      <c r="V151" s="541">
        <f>Q151+S151+U151</f>
        <v>0</v>
      </c>
      <c r="W151" s="540"/>
      <c r="X151" s="539"/>
      <c r="Y151" s="540"/>
      <c r="Z151" s="539"/>
      <c r="AA151" s="540"/>
      <c r="AB151" s="539"/>
      <c r="AC151" s="541">
        <f>X151+Z151+AB151</f>
        <v>0</v>
      </c>
      <c r="AD151" s="542"/>
      <c r="AE151" s="541"/>
    </row>
    <row r="152" spans="1:31" s="543" customFormat="1" ht="14.25" customHeight="1" outlineLevel="1">
      <c r="A152" s="537" t="s">
        <v>140</v>
      </c>
      <c r="B152" s="538"/>
      <c r="C152" s="539"/>
      <c r="D152" s="540"/>
      <c r="E152" s="539"/>
      <c r="F152" s="540"/>
      <c r="G152" s="539"/>
      <c r="H152" s="541">
        <f t="shared" si="22"/>
        <v>0</v>
      </c>
      <c r="I152" s="540"/>
      <c r="J152" s="539"/>
      <c r="K152" s="540"/>
      <c r="L152" s="539">
        <v>670736</v>
      </c>
      <c r="M152" s="540"/>
      <c r="N152" s="539"/>
      <c r="O152" s="541">
        <f t="shared" si="23"/>
        <v>670736</v>
      </c>
      <c r="P152" s="540"/>
      <c r="Q152" s="539"/>
      <c r="R152" s="540"/>
      <c r="S152" s="539">
        <v>53950</v>
      </c>
      <c r="T152" s="540"/>
      <c r="U152" s="539">
        <v>95.4</v>
      </c>
      <c r="V152" s="541">
        <f t="shared" si="24"/>
        <v>54045.4</v>
      </c>
      <c r="W152" s="540"/>
      <c r="X152" s="539"/>
      <c r="Y152" s="540"/>
      <c r="Z152" s="539"/>
      <c r="AA152" s="540"/>
      <c r="AB152" s="539"/>
      <c r="AC152" s="541">
        <f t="shared" si="30"/>
        <v>0</v>
      </c>
      <c r="AD152" s="542"/>
      <c r="AE152" s="541"/>
    </row>
    <row r="153" spans="1:31" s="220" customFormat="1" ht="14.25" customHeight="1" outlineLevel="1">
      <c r="A153" s="182" t="s">
        <v>131</v>
      </c>
      <c r="B153" s="336">
        <f aca="true" t="shared" si="35" ref="B153:G153">SUM(B154:B163)</f>
        <v>0</v>
      </c>
      <c r="C153" s="183">
        <f t="shared" si="35"/>
        <v>0</v>
      </c>
      <c r="D153" s="303">
        <f t="shared" si="35"/>
        <v>0</v>
      </c>
      <c r="E153" s="183">
        <f t="shared" si="35"/>
        <v>0</v>
      </c>
      <c r="F153" s="303">
        <f t="shared" si="35"/>
        <v>0</v>
      </c>
      <c r="G153" s="183">
        <f t="shared" si="35"/>
        <v>0</v>
      </c>
      <c r="H153" s="247">
        <f t="shared" si="22"/>
        <v>0</v>
      </c>
      <c r="I153" s="303">
        <f aca="true" t="shared" si="36" ref="I153:N153">SUM(I154:I163)</f>
        <v>0</v>
      </c>
      <c r="J153" s="183">
        <f t="shared" si="36"/>
        <v>3700</v>
      </c>
      <c r="K153" s="303">
        <f t="shared" si="36"/>
        <v>0</v>
      </c>
      <c r="L153" s="183">
        <f t="shared" si="36"/>
        <v>3500</v>
      </c>
      <c r="M153" s="303">
        <f t="shared" si="36"/>
        <v>0</v>
      </c>
      <c r="N153" s="183">
        <f t="shared" si="36"/>
        <v>57800</v>
      </c>
      <c r="O153" s="247">
        <f t="shared" si="23"/>
        <v>65000</v>
      </c>
      <c r="P153" s="303">
        <f aca="true" t="shared" si="37" ref="P153:U153">SUM(P154:P163)</f>
        <v>0</v>
      </c>
      <c r="Q153" s="183">
        <f t="shared" si="37"/>
        <v>6625</v>
      </c>
      <c r="R153" s="303">
        <f t="shared" si="37"/>
        <v>0</v>
      </c>
      <c r="S153" s="183">
        <f t="shared" si="37"/>
        <v>0</v>
      </c>
      <c r="T153" s="303">
        <f t="shared" si="37"/>
        <v>0</v>
      </c>
      <c r="U153" s="183">
        <f t="shared" si="37"/>
        <v>0</v>
      </c>
      <c r="V153" s="247">
        <f t="shared" si="24"/>
        <v>6625</v>
      </c>
      <c r="W153" s="303">
        <f aca="true" t="shared" si="38" ref="W153:AB153">SUM(W154:W163)</f>
        <v>0</v>
      </c>
      <c r="X153" s="183">
        <f t="shared" si="38"/>
        <v>0</v>
      </c>
      <c r="Y153" s="303">
        <f t="shared" si="38"/>
        <v>0</v>
      </c>
      <c r="Z153" s="183">
        <f t="shared" si="38"/>
        <v>0</v>
      </c>
      <c r="AA153" s="303">
        <f t="shared" si="38"/>
        <v>0</v>
      </c>
      <c r="AB153" s="183">
        <f t="shared" si="38"/>
        <v>0</v>
      </c>
      <c r="AC153" s="247">
        <f t="shared" si="30"/>
        <v>0</v>
      </c>
      <c r="AD153" s="183">
        <f>SUM(AD154:AD163)</f>
        <v>0</v>
      </c>
      <c r="AE153" s="247"/>
    </row>
    <row r="154" spans="1:31" s="219" customFormat="1" ht="14.25" customHeight="1" outlineLevel="1">
      <c r="A154" s="65" t="s">
        <v>7</v>
      </c>
      <c r="B154" s="324"/>
      <c r="C154" s="15"/>
      <c r="D154" s="291"/>
      <c r="E154" s="15"/>
      <c r="F154" s="291"/>
      <c r="G154" s="15"/>
      <c r="H154" s="235">
        <f t="shared" si="22"/>
        <v>0</v>
      </c>
      <c r="I154" s="291"/>
      <c r="J154" s="15"/>
      <c r="K154" s="291"/>
      <c r="L154" s="15"/>
      <c r="M154" s="291"/>
      <c r="N154" s="15"/>
      <c r="O154" s="235">
        <f t="shared" si="23"/>
        <v>0</v>
      </c>
      <c r="P154" s="291"/>
      <c r="Q154" s="15"/>
      <c r="R154" s="291"/>
      <c r="S154" s="15"/>
      <c r="T154" s="291"/>
      <c r="U154" s="15"/>
      <c r="V154" s="235">
        <f t="shared" si="24"/>
        <v>0</v>
      </c>
      <c r="W154" s="291"/>
      <c r="X154" s="15"/>
      <c r="Y154" s="291"/>
      <c r="Z154" s="15"/>
      <c r="AA154" s="291"/>
      <c r="AB154" s="15"/>
      <c r="AC154" s="235">
        <f t="shared" si="30"/>
        <v>0</v>
      </c>
      <c r="AD154" s="12"/>
      <c r="AE154" s="235"/>
    </row>
    <row r="155" spans="1:31" s="219" customFormat="1" ht="14.25" customHeight="1" outlineLevel="1">
      <c r="A155" s="65" t="s">
        <v>8</v>
      </c>
      <c r="B155" s="324"/>
      <c r="C155" s="15"/>
      <c r="D155" s="291"/>
      <c r="E155" s="15"/>
      <c r="F155" s="291"/>
      <c r="G155" s="15"/>
      <c r="H155" s="235">
        <f t="shared" si="22"/>
        <v>0</v>
      </c>
      <c r="I155" s="291"/>
      <c r="J155" s="15"/>
      <c r="K155" s="291"/>
      <c r="L155" s="15"/>
      <c r="M155" s="291"/>
      <c r="N155" s="15"/>
      <c r="O155" s="235">
        <f t="shared" si="23"/>
        <v>0</v>
      </c>
      <c r="P155" s="291"/>
      <c r="Q155" s="15"/>
      <c r="R155" s="291"/>
      <c r="S155" s="15"/>
      <c r="T155" s="291"/>
      <c r="U155" s="15"/>
      <c r="V155" s="235">
        <f t="shared" si="24"/>
        <v>0</v>
      </c>
      <c r="W155" s="291"/>
      <c r="X155" s="15"/>
      <c r="Y155" s="291"/>
      <c r="Z155" s="15"/>
      <c r="AA155" s="291"/>
      <c r="AB155" s="15"/>
      <c r="AC155" s="235">
        <f t="shared" si="30"/>
        <v>0</v>
      </c>
      <c r="AD155" s="12"/>
      <c r="AE155" s="235"/>
    </row>
    <row r="156" spans="1:31" s="219" customFormat="1" ht="14.25" customHeight="1" outlineLevel="1">
      <c r="A156" s="65" t="s">
        <v>10</v>
      </c>
      <c r="B156" s="324"/>
      <c r="C156" s="15"/>
      <c r="D156" s="291"/>
      <c r="E156" s="221"/>
      <c r="F156" s="291"/>
      <c r="G156" s="15"/>
      <c r="H156" s="235">
        <f>C156+E156+G156</f>
        <v>0</v>
      </c>
      <c r="I156" s="291"/>
      <c r="J156" s="15"/>
      <c r="K156" s="291"/>
      <c r="L156" s="15">
        <v>3500</v>
      </c>
      <c r="M156" s="291"/>
      <c r="N156" s="113"/>
      <c r="O156" s="235">
        <f>J156+L156+N156</f>
        <v>3500</v>
      </c>
      <c r="P156" s="291"/>
      <c r="Q156" s="15">
        <f>2225+4400</f>
        <v>6625</v>
      </c>
      <c r="R156" s="291"/>
      <c r="S156" s="15"/>
      <c r="T156" s="291"/>
      <c r="U156" s="15"/>
      <c r="V156" s="235">
        <f>Q156+S156+U156</f>
        <v>6625</v>
      </c>
      <c r="W156" s="291"/>
      <c r="X156" s="15"/>
      <c r="Y156" s="291"/>
      <c r="Z156" s="15"/>
      <c r="AA156" s="291"/>
      <c r="AB156" s="15"/>
      <c r="AC156" s="235">
        <f t="shared" si="30"/>
        <v>0</v>
      </c>
      <c r="AD156" s="12"/>
      <c r="AE156" s="235"/>
    </row>
    <row r="157" spans="1:31" s="219" customFormat="1" ht="14.25" customHeight="1" outlineLevel="1">
      <c r="A157" s="65" t="s">
        <v>627</v>
      </c>
      <c r="B157" s="324"/>
      <c r="C157" s="15"/>
      <c r="D157" s="291"/>
      <c r="E157" s="15"/>
      <c r="F157" s="291"/>
      <c r="G157" s="221"/>
      <c r="H157" s="235">
        <f t="shared" si="22"/>
        <v>0</v>
      </c>
      <c r="I157" s="291"/>
      <c r="J157" s="15"/>
      <c r="K157" s="291"/>
      <c r="L157" s="15"/>
      <c r="M157" s="291"/>
      <c r="N157" s="15"/>
      <c r="O157" s="235">
        <f t="shared" si="23"/>
        <v>0</v>
      </c>
      <c r="P157" s="291"/>
      <c r="Q157" s="15"/>
      <c r="R157" s="291"/>
      <c r="S157" s="15"/>
      <c r="T157" s="291"/>
      <c r="U157" s="15"/>
      <c r="V157" s="235">
        <f t="shared" si="24"/>
        <v>0</v>
      </c>
      <c r="W157" s="291"/>
      <c r="X157" s="15"/>
      <c r="Y157" s="291"/>
      <c r="Z157" s="15"/>
      <c r="AA157" s="291"/>
      <c r="AB157" s="15"/>
      <c r="AC157" s="235">
        <f t="shared" si="30"/>
        <v>0</v>
      </c>
      <c r="AD157" s="12"/>
      <c r="AE157" s="235"/>
    </row>
    <row r="158" spans="1:31" s="219" customFormat="1" ht="14.25" customHeight="1" outlineLevel="1">
      <c r="A158" s="65" t="s">
        <v>628</v>
      </c>
      <c r="B158" s="324"/>
      <c r="C158" s="15"/>
      <c r="D158" s="291"/>
      <c r="E158" s="15"/>
      <c r="F158" s="291"/>
      <c r="G158" s="15"/>
      <c r="H158" s="235">
        <f>C158+E158+G158</f>
        <v>0</v>
      </c>
      <c r="I158" s="291"/>
      <c r="J158" s="15">
        <v>3700</v>
      </c>
      <c r="K158" s="291"/>
      <c r="L158" s="15"/>
      <c r="M158" s="291"/>
      <c r="N158" s="15"/>
      <c r="O158" s="235">
        <f>J158+L158+N158</f>
        <v>3700</v>
      </c>
      <c r="P158" s="291"/>
      <c r="Q158" s="15"/>
      <c r="R158" s="291"/>
      <c r="S158" s="15"/>
      <c r="T158" s="291"/>
      <c r="U158" s="15"/>
      <c r="V158" s="235">
        <f>Q158+S158+U158</f>
        <v>0</v>
      </c>
      <c r="W158" s="291"/>
      <c r="X158" s="15"/>
      <c r="Y158" s="291"/>
      <c r="Z158" s="15"/>
      <c r="AA158" s="291"/>
      <c r="AB158" s="15"/>
      <c r="AC158" s="235">
        <f>X158+Z158+AB158</f>
        <v>0</v>
      </c>
      <c r="AD158" s="12"/>
      <c r="AE158" s="235"/>
    </row>
    <row r="159" spans="1:31" s="219" customFormat="1" ht="14.25" customHeight="1" outlineLevel="1">
      <c r="A159" s="65" t="s">
        <v>11</v>
      </c>
      <c r="B159" s="324"/>
      <c r="C159" s="15"/>
      <c r="D159" s="291"/>
      <c r="E159" s="15"/>
      <c r="F159" s="291"/>
      <c r="G159" s="15"/>
      <c r="H159" s="235">
        <f>C159+E159+G159</f>
        <v>0</v>
      </c>
      <c r="I159" s="291"/>
      <c r="J159" s="221"/>
      <c r="K159" s="291"/>
      <c r="L159" s="15"/>
      <c r="M159" s="291"/>
      <c r="N159" s="15">
        <v>2800</v>
      </c>
      <c r="O159" s="235">
        <f>J159+L159+N159</f>
        <v>2800</v>
      </c>
      <c r="P159" s="291"/>
      <c r="Q159" s="15"/>
      <c r="R159" s="291"/>
      <c r="S159" s="15"/>
      <c r="T159" s="291"/>
      <c r="U159" s="15"/>
      <c r="V159" s="235">
        <f>Q159+S159+U159</f>
        <v>0</v>
      </c>
      <c r="W159" s="291"/>
      <c r="X159" s="15"/>
      <c r="Y159" s="291"/>
      <c r="Z159" s="15"/>
      <c r="AA159" s="291"/>
      <c r="AB159" s="15"/>
      <c r="AC159" s="235">
        <f>X159+Z159+AB159</f>
        <v>0</v>
      </c>
      <c r="AD159" s="12"/>
      <c r="AE159" s="235"/>
    </row>
    <row r="160" spans="1:31" s="219" customFormat="1" ht="14.25" customHeight="1" outlineLevel="1">
      <c r="A160" s="65" t="s">
        <v>629</v>
      </c>
      <c r="B160" s="324"/>
      <c r="C160" s="15"/>
      <c r="D160" s="291"/>
      <c r="E160" s="15"/>
      <c r="F160" s="291"/>
      <c r="G160" s="15"/>
      <c r="H160" s="235">
        <f t="shared" si="22"/>
        <v>0</v>
      </c>
      <c r="I160" s="291"/>
      <c r="J160" s="221"/>
      <c r="K160" s="291"/>
      <c r="L160" s="15"/>
      <c r="M160" s="291"/>
      <c r="N160" s="15"/>
      <c r="O160" s="235">
        <f t="shared" si="23"/>
        <v>0</v>
      </c>
      <c r="P160" s="291"/>
      <c r="Q160" s="15"/>
      <c r="R160" s="291"/>
      <c r="S160" s="15"/>
      <c r="T160" s="291"/>
      <c r="U160" s="15"/>
      <c r="V160" s="235">
        <f t="shared" si="24"/>
        <v>0</v>
      </c>
      <c r="W160" s="291"/>
      <c r="X160" s="15"/>
      <c r="Y160" s="291"/>
      <c r="Z160" s="15"/>
      <c r="AA160" s="291"/>
      <c r="AB160" s="15"/>
      <c r="AC160" s="235">
        <f t="shared" si="30"/>
        <v>0</v>
      </c>
      <c r="AD160" s="12"/>
      <c r="AE160" s="235"/>
    </row>
    <row r="161" spans="1:31" s="219" customFormat="1" ht="14.25" customHeight="1" outlineLevel="1">
      <c r="A161" s="65" t="s">
        <v>602</v>
      </c>
      <c r="B161" s="324"/>
      <c r="C161" s="15"/>
      <c r="D161" s="291"/>
      <c r="E161" s="15"/>
      <c r="F161" s="291"/>
      <c r="G161" s="15"/>
      <c r="H161" s="235">
        <f t="shared" si="22"/>
        <v>0</v>
      </c>
      <c r="I161" s="291"/>
      <c r="J161" s="221"/>
      <c r="K161" s="291"/>
      <c r="L161" s="113"/>
      <c r="M161" s="291"/>
      <c r="N161" s="15">
        <v>5000</v>
      </c>
      <c r="O161" s="235">
        <f t="shared" si="23"/>
        <v>5000</v>
      </c>
      <c r="P161" s="291"/>
      <c r="Q161" s="15"/>
      <c r="R161" s="291"/>
      <c r="S161" s="15"/>
      <c r="T161" s="291"/>
      <c r="U161" s="15"/>
      <c r="V161" s="235">
        <f t="shared" si="24"/>
        <v>0</v>
      </c>
      <c r="W161" s="291"/>
      <c r="X161" s="15"/>
      <c r="Y161" s="291"/>
      <c r="Z161" s="15"/>
      <c r="AA161" s="291"/>
      <c r="AB161" s="15"/>
      <c r="AC161" s="235">
        <f t="shared" si="30"/>
        <v>0</v>
      </c>
      <c r="AD161" s="12"/>
      <c r="AE161" s="235"/>
    </row>
    <row r="162" spans="1:31" s="219" customFormat="1" ht="14.25" customHeight="1" outlineLevel="1">
      <c r="A162" s="65" t="s">
        <v>136</v>
      </c>
      <c r="B162" s="324"/>
      <c r="C162" s="15"/>
      <c r="D162" s="291"/>
      <c r="E162" s="15"/>
      <c r="F162" s="291"/>
      <c r="G162" s="15"/>
      <c r="H162" s="235">
        <f>C162+E162+G162</f>
        <v>0</v>
      </c>
      <c r="I162" s="291"/>
      <c r="J162" s="15"/>
      <c r="K162" s="291"/>
      <c r="L162" s="15"/>
      <c r="M162" s="291"/>
      <c r="N162" s="15"/>
      <c r="O162" s="235">
        <f>J162+L162+N162</f>
        <v>0</v>
      </c>
      <c r="P162" s="291"/>
      <c r="Q162" s="113"/>
      <c r="R162" s="291"/>
      <c r="S162" s="15"/>
      <c r="T162" s="291"/>
      <c r="U162" s="15"/>
      <c r="V162" s="235">
        <f>Q162+S162+U162</f>
        <v>0</v>
      </c>
      <c r="W162" s="291"/>
      <c r="X162" s="113"/>
      <c r="Y162" s="291"/>
      <c r="Z162" s="15"/>
      <c r="AA162" s="291"/>
      <c r="AB162" s="15"/>
      <c r="AC162" s="235">
        <f>X162+Z162+AB162</f>
        <v>0</v>
      </c>
      <c r="AD162" s="12"/>
      <c r="AE162" s="235"/>
    </row>
    <row r="163" spans="1:31" s="219" customFormat="1" ht="14.25" customHeight="1" outlineLevel="1">
      <c r="A163" s="65" t="s">
        <v>229</v>
      </c>
      <c r="B163" s="324"/>
      <c r="C163" s="15"/>
      <c r="D163" s="291"/>
      <c r="E163" s="15"/>
      <c r="F163" s="291"/>
      <c r="G163" s="15"/>
      <c r="H163" s="235">
        <f t="shared" si="22"/>
        <v>0</v>
      </c>
      <c r="I163" s="291"/>
      <c r="J163" s="15"/>
      <c r="K163" s="291"/>
      <c r="L163" s="15"/>
      <c r="M163" s="291"/>
      <c r="N163" s="15">
        <v>50000</v>
      </c>
      <c r="O163" s="235">
        <f t="shared" si="23"/>
        <v>50000</v>
      </c>
      <c r="P163" s="291"/>
      <c r="Q163" s="113"/>
      <c r="R163" s="291"/>
      <c r="S163" s="15"/>
      <c r="T163" s="291"/>
      <c r="U163" s="15"/>
      <c r="V163" s="235">
        <f t="shared" si="24"/>
        <v>0</v>
      </c>
      <c r="W163" s="291"/>
      <c r="X163" s="113"/>
      <c r="Y163" s="291"/>
      <c r="Z163" s="15"/>
      <c r="AA163" s="291"/>
      <c r="AB163" s="15"/>
      <c r="AC163" s="235">
        <f t="shared" si="30"/>
        <v>0</v>
      </c>
      <c r="AD163" s="12"/>
      <c r="AE163" s="235"/>
    </row>
    <row r="164" spans="1:31" s="234" customFormat="1" ht="16.5" customHeight="1">
      <c r="A164" s="66" t="s">
        <v>34</v>
      </c>
      <c r="B164" s="337"/>
      <c r="C164" s="14">
        <f>C153+C139</f>
        <v>0</v>
      </c>
      <c r="D164" s="304"/>
      <c r="E164" s="14">
        <f>E153+E139</f>
        <v>0</v>
      </c>
      <c r="F164" s="304"/>
      <c r="G164" s="14">
        <f>G153+G139</f>
        <v>143732</v>
      </c>
      <c r="H164" s="268">
        <f t="shared" si="22"/>
        <v>143732</v>
      </c>
      <c r="I164" s="304">
        <v>0</v>
      </c>
      <c r="J164" s="14">
        <v>0</v>
      </c>
      <c r="K164" s="304">
        <v>0</v>
      </c>
      <c r="L164" s="14">
        <v>0</v>
      </c>
      <c r="M164" s="304">
        <v>0</v>
      </c>
      <c r="N164" s="14">
        <v>0</v>
      </c>
      <c r="O164" s="249">
        <v>0</v>
      </c>
      <c r="P164" s="304">
        <v>0</v>
      </c>
      <c r="Q164" s="14">
        <v>0</v>
      </c>
      <c r="R164" s="304">
        <v>0</v>
      </c>
      <c r="S164" s="14">
        <v>0</v>
      </c>
      <c r="T164" s="304">
        <v>0</v>
      </c>
      <c r="U164" s="14">
        <v>0</v>
      </c>
      <c r="V164" s="249">
        <v>0</v>
      </c>
      <c r="W164" s="304">
        <v>0</v>
      </c>
      <c r="X164" s="14">
        <v>0</v>
      </c>
      <c r="Y164" s="304">
        <v>0</v>
      </c>
      <c r="Z164" s="14">
        <v>0</v>
      </c>
      <c r="AA164" s="304">
        <v>0</v>
      </c>
      <c r="AB164" s="14">
        <v>0</v>
      </c>
      <c r="AC164" s="249">
        <v>0</v>
      </c>
      <c r="AD164" s="10">
        <v>0</v>
      </c>
      <c r="AE164" s="249">
        <v>0</v>
      </c>
    </row>
    <row r="165" spans="1:31" s="227" customFormat="1" ht="12.75" customHeight="1">
      <c r="A165" s="228" t="s">
        <v>99</v>
      </c>
      <c r="B165" s="323"/>
      <c r="C165" s="207">
        <f>C164/C4</f>
        <v>0</v>
      </c>
      <c r="D165" s="290"/>
      <c r="E165" s="207" t="e">
        <f>E164/E4</f>
        <v>#DIV/0!</v>
      </c>
      <c r="F165" s="290"/>
      <c r="G165" s="207" t="e">
        <f aca="true" t="shared" si="39" ref="G165:AD165">G164/G4</f>
        <v>#DIV/0!</v>
      </c>
      <c r="H165" s="207" t="e">
        <f t="shared" si="39"/>
        <v>#DIV/0!</v>
      </c>
      <c r="I165" s="290" t="e">
        <f t="shared" si="39"/>
        <v>#DIV/0!</v>
      </c>
      <c r="J165" s="207" t="e">
        <f t="shared" si="39"/>
        <v>#DIV/0!</v>
      </c>
      <c r="K165" s="290" t="e">
        <f t="shared" si="39"/>
        <v>#DIV/0!</v>
      </c>
      <c r="L165" s="207" t="e">
        <f t="shared" si="39"/>
        <v>#DIV/0!</v>
      </c>
      <c r="M165" s="290" t="e">
        <f t="shared" si="39"/>
        <v>#DIV/0!</v>
      </c>
      <c r="N165" s="207" t="e">
        <f t="shared" si="39"/>
        <v>#DIV/0!</v>
      </c>
      <c r="O165" s="207" t="e">
        <f t="shared" si="39"/>
        <v>#DIV/0!</v>
      </c>
      <c r="P165" s="290" t="e">
        <f t="shared" si="39"/>
        <v>#DIV/0!</v>
      </c>
      <c r="Q165" s="207" t="e">
        <f t="shared" si="39"/>
        <v>#DIV/0!</v>
      </c>
      <c r="R165" s="290" t="e">
        <f t="shared" si="39"/>
        <v>#DIV/0!</v>
      </c>
      <c r="S165" s="207" t="e">
        <f t="shared" si="39"/>
        <v>#DIV/0!</v>
      </c>
      <c r="T165" s="290" t="e">
        <f t="shared" si="39"/>
        <v>#DIV/0!</v>
      </c>
      <c r="U165" s="207" t="e">
        <f t="shared" si="39"/>
        <v>#DIV/0!</v>
      </c>
      <c r="V165" s="207" t="e">
        <f t="shared" si="39"/>
        <v>#DIV/0!</v>
      </c>
      <c r="W165" s="290" t="e">
        <f t="shared" si="39"/>
        <v>#DIV/0!</v>
      </c>
      <c r="X165" s="207" t="e">
        <f t="shared" si="39"/>
        <v>#DIV/0!</v>
      </c>
      <c r="Y165" s="290" t="e">
        <f t="shared" si="39"/>
        <v>#DIV/0!</v>
      </c>
      <c r="Z165" s="207" t="e">
        <f t="shared" si="39"/>
        <v>#DIV/0!</v>
      </c>
      <c r="AA165" s="290" t="e">
        <f t="shared" si="39"/>
        <v>#DIV/0!</v>
      </c>
      <c r="AB165" s="207" t="e">
        <f t="shared" si="39"/>
        <v>#DIV/0!</v>
      </c>
      <c r="AC165" s="207" t="e">
        <f t="shared" si="39"/>
        <v>#DIV/0!</v>
      </c>
      <c r="AD165" s="226">
        <f t="shared" si="39"/>
        <v>0</v>
      </c>
      <c r="AE165" s="207"/>
    </row>
    <row r="166" spans="1:47" s="264" customFormat="1" ht="13.5" customHeight="1">
      <c r="A166" s="258" t="s">
        <v>39</v>
      </c>
      <c r="B166" s="338"/>
      <c r="C166" s="260">
        <v>0.05</v>
      </c>
      <c r="D166" s="305"/>
      <c r="E166" s="260">
        <v>0.05</v>
      </c>
      <c r="F166" s="305"/>
      <c r="G166" s="260"/>
      <c r="H166" s="259">
        <f t="shared" si="22"/>
        <v>0.1</v>
      </c>
      <c r="I166" s="305">
        <v>0.05</v>
      </c>
      <c r="J166" s="260"/>
      <c r="K166" s="305">
        <v>0.05</v>
      </c>
      <c r="L166" s="260"/>
      <c r="M166" s="305">
        <v>0.05</v>
      </c>
      <c r="N166" s="261"/>
      <c r="O166" s="259">
        <f t="shared" si="23"/>
        <v>0</v>
      </c>
      <c r="P166" s="305">
        <v>0.05</v>
      </c>
      <c r="Q166" s="260"/>
      <c r="R166" s="305">
        <v>0.05</v>
      </c>
      <c r="S166" s="260"/>
      <c r="T166" s="305">
        <v>0.05</v>
      </c>
      <c r="U166" s="260"/>
      <c r="V166" s="259">
        <f t="shared" si="24"/>
        <v>0</v>
      </c>
      <c r="W166" s="305">
        <v>0.05</v>
      </c>
      <c r="X166" s="260"/>
      <c r="Y166" s="305">
        <v>0.05</v>
      </c>
      <c r="Z166" s="260"/>
      <c r="AA166" s="305">
        <v>0.05</v>
      </c>
      <c r="AB166" s="260"/>
      <c r="AC166" s="259">
        <f>X166+Z166+AB166</f>
        <v>0</v>
      </c>
      <c r="AD166" s="262"/>
      <c r="AE166" s="259"/>
      <c r="AF166" s="263"/>
      <c r="AG166" s="263"/>
      <c r="AH166" s="263"/>
      <c r="AI166" s="263"/>
      <c r="AJ166" s="263"/>
      <c r="AK166" s="263"/>
      <c r="AL166" s="263"/>
      <c r="AM166" s="263"/>
      <c r="AN166" s="263"/>
      <c r="AO166" s="263"/>
      <c r="AP166" s="263"/>
      <c r="AT166" s="265"/>
      <c r="AU166" s="265"/>
    </row>
    <row r="167" spans="1:31" s="56" customFormat="1" ht="28.5" customHeight="1">
      <c r="A167" s="67" t="s">
        <v>132</v>
      </c>
      <c r="B167" s="337"/>
      <c r="C167" s="17">
        <f>C137+C164</f>
        <v>0</v>
      </c>
      <c r="D167" s="304"/>
      <c r="E167" s="17">
        <f>E137+E164-E152</f>
        <v>0</v>
      </c>
      <c r="F167" s="304"/>
      <c r="G167" s="17">
        <f>G137+G164</f>
        <v>160696.85</v>
      </c>
      <c r="H167" s="269">
        <f>C167+E167+G167</f>
        <v>160696.85</v>
      </c>
      <c r="I167" s="304">
        <f>I137+I164</f>
        <v>60000</v>
      </c>
      <c r="J167" s="17">
        <f>J137+J164-J151</f>
        <v>-77500.35</v>
      </c>
      <c r="K167" s="304">
        <f>K137+K164</f>
        <v>0</v>
      </c>
      <c r="L167" s="17">
        <f>L137+L164</f>
        <v>4053</v>
      </c>
      <c r="M167" s="304">
        <f>M137+M164</f>
        <v>0</v>
      </c>
      <c r="N167" s="17">
        <f>N137+N164</f>
        <v>213229</v>
      </c>
      <c r="O167" s="250">
        <f>J167+L167+N167</f>
        <v>139781.65</v>
      </c>
      <c r="P167" s="304">
        <f aca="true" t="shared" si="40" ref="P167:U167">P137+P164</f>
        <v>0</v>
      </c>
      <c r="Q167" s="17">
        <f t="shared" si="40"/>
        <v>3919</v>
      </c>
      <c r="R167" s="304">
        <f t="shared" si="40"/>
        <v>0</v>
      </c>
      <c r="S167" s="17">
        <f t="shared" si="40"/>
        <v>3919</v>
      </c>
      <c r="T167" s="304">
        <f t="shared" si="40"/>
        <v>0</v>
      </c>
      <c r="U167" s="17">
        <f t="shared" si="40"/>
        <v>3919</v>
      </c>
      <c r="V167" s="250">
        <f>Q167+S167+U167</f>
        <v>11757</v>
      </c>
      <c r="W167" s="304">
        <f aca="true" t="shared" si="41" ref="W167:AB167">W137+W164</f>
        <v>0</v>
      </c>
      <c r="X167" s="17">
        <f t="shared" si="41"/>
        <v>0</v>
      </c>
      <c r="Y167" s="304">
        <f t="shared" si="41"/>
        <v>0</v>
      </c>
      <c r="Z167" s="17">
        <f t="shared" si="41"/>
        <v>0</v>
      </c>
      <c r="AA167" s="304">
        <f t="shared" si="41"/>
        <v>0</v>
      </c>
      <c r="AB167" s="17">
        <f t="shared" si="41"/>
        <v>0</v>
      </c>
      <c r="AC167" s="250">
        <f>X167+Z167+AB167</f>
        <v>0</v>
      </c>
      <c r="AD167" s="69">
        <f>AD137+AD164</f>
        <v>0</v>
      </c>
      <c r="AE167" s="250">
        <f>AC167+V167+O167+H167</f>
        <v>312235.5</v>
      </c>
    </row>
    <row r="168" spans="1:31" s="285" customFormat="1" ht="12.75" customHeight="1">
      <c r="A168" s="282" t="s">
        <v>12</v>
      </c>
      <c r="B168" s="339"/>
      <c r="C168" s="283">
        <f>C167/C4</f>
        <v>0</v>
      </c>
      <c r="D168" s="306"/>
      <c r="E168" s="283" t="e">
        <f>E167/E4</f>
        <v>#DIV/0!</v>
      </c>
      <c r="F168" s="306"/>
      <c r="G168" s="283" t="e">
        <f aca="true" t="shared" si="42" ref="G168:AD168">G167/G4</f>
        <v>#DIV/0!</v>
      </c>
      <c r="H168" s="283" t="e">
        <f t="shared" si="42"/>
        <v>#DIV/0!</v>
      </c>
      <c r="I168" s="306" t="e">
        <f t="shared" si="42"/>
        <v>#DIV/0!</v>
      </c>
      <c r="J168" s="283" t="e">
        <f t="shared" si="42"/>
        <v>#DIV/0!</v>
      </c>
      <c r="K168" s="306" t="e">
        <f t="shared" si="42"/>
        <v>#DIV/0!</v>
      </c>
      <c r="L168" s="283" t="e">
        <f t="shared" si="42"/>
        <v>#DIV/0!</v>
      </c>
      <c r="M168" s="306" t="e">
        <f t="shared" si="42"/>
        <v>#DIV/0!</v>
      </c>
      <c r="N168" s="283" t="e">
        <f t="shared" si="42"/>
        <v>#DIV/0!</v>
      </c>
      <c r="O168" s="283" t="e">
        <f t="shared" si="42"/>
        <v>#DIV/0!</v>
      </c>
      <c r="P168" s="306" t="e">
        <f t="shared" si="42"/>
        <v>#DIV/0!</v>
      </c>
      <c r="Q168" s="283" t="e">
        <f t="shared" si="42"/>
        <v>#DIV/0!</v>
      </c>
      <c r="R168" s="306" t="e">
        <f t="shared" si="42"/>
        <v>#DIV/0!</v>
      </c>
      <c r="S168" s="283" t="e">
        <f t="shared" si="42"/>
        <v>#DIV/0!</v>
      </c>
      <c r="T168" s="306" t="e">
        <f t="shared" si="42"/>
        <v>#DIV/0!</v>
      </c>
      <c r="U168" s="283" t="e">
        <f t="shared" si="42"/>
        <v>#DIV/0!</v>
      </c>
      <c r="V168" s="283" t="e">
        <f t="shared" si="42"/>
        <v>#DIV/0!</v>
      </c>
      <c r="W168" s="306" t="e">
        <f t="shared" si="42"/>
        <v>#DIV/0!</v>
      </c>
      <c r="X168" s="283" t="e">
        <f t="shared" si="42"/>
        <v>#DIV/0!</v>
      </c>
      <c r="Y168" s="306" t="e">
        <f t="shared" si="42"/>
        <v>#DIV/0!</v>
      </c>
      <c r="Z168" s="283" t="e">
        <f t="shared" si="42"/>
        <v>#DIV/0!</v>
      </c>
      <c r="AA168" s="306" t="e">
        <f t="shared" si="42"/>
        <v>#DIV/0!</v>
      </c>
      <c r="AB168" s="283" t="e">
        <f t="shared" si="42"/>
        <v>#DIV/0!</v>
      </c>
      <c r="AC168" s="283" t="e">
        <f t="shared" si="42"/>
        <v>#DIV/0!</v>
      </c>
      <c r="AD168" s="284">
        <f t="shared" si="42"/>
        <v>0</v>
      </c>
      <c r="AE168" s="283"/>
    </row>
    <row r="169" spans="1:31" s="190" customFormat="1" ht="15" customHeight="1">
      <c r="A169" s="187" t="s">
        <v>129</v>
      </c>
      <c r="B169" s="340"/>
      <c r="C169" s="188">
        <f>'01'!S134</f>
        <v>181038.7857142857</v>
      </c>
      <c r="D169" s="307"/>
      <c r="E169" s="188" t="e">
        <f>#REF!</f>
        <v>#REF!</v>
      </c>
      <c r="F169" s="307"/>
      <c r="G169" s="188" t="e">
        <f>#REF!</f>
        <v>#REF!</v>
      </c>
      <c r="H169" s="287" t="e">
        <f t="shared" si="22"/>
        <v>#REF!</v>
      </c>
      <c r="I169" s="307">
        <v>351300</v>
      </c>
      <c r="J169" s="188" t="e">
        <f>#REF!</f>
        <v>#REF!</v>
      </c>
      <c r="K169" s="307"/>
      <c r="L169" s="188" t="e">
        <f>#REF!</f>
        <v>#REF!</v>
      </c>
      <c r="M169" s="307"/>
      <c r="N169" s="188" t="e">
        <f>#REF!</f>
        <v>#REF!</v>
      </c>
      <c r="O169" s="278" t="e">
        <f t="shared" si="23"/>
        <v>#REF!</v>
      </c>
      <c r="P169" s="307"/>
      <c r="Q169" s="188" t="e">
        <f>#REF!</f>
        <v>#REF!</v>
      </c>
      <c r="R169" s="307"/>
      <c r="S169" s="188" t="e">
        <f>#REF!</f>
        <v>#REF!</v>
      </c>
      <c r="T169" s="307"/>
      <c r="U169" s="188" t="e">
        <f>#REF!</f>
        <v>#REF!</v>
      </c>
      <c r="V169" s="278" t="e">
        <f t="shared" si="24"/>
        <v>#REF!</v>
      </c>
      <c r="W169" s="307"/>
      <c r="X169" s="188"/>
      <c r="Y169" s="307"/>
      <c r="Z169" s="188"/>
      <c r="AA169" s="307"/>
      <c r="AB169" s="188"/>
      <c r="AC169" s="278">
        <f>X169+Z169+AB169</f>
        <v>0</v>
      </c>
      <c r="AD169" s="189"/>
      <c r="AE169" s="278" t="e">
        <f>AC169+V169+O169+H169</f>
        <v>#REF!</v>
      </c>
    </row>
    <row r="170" spans="1:31" s="281" customFormat="1" ht="25.5" customHeight="1">
      <c r="A170" s="279" t="s">
        <v>653</v>
      </c>
      <c r="B170" s="341" t="e">
        <f aca="true" t="shared" si="43" ref="B170:H170">B169/B4</f>
        <v>#DIV/0!</v>
      </c>
      <c r="C170" s="280">
        <f t="shared" si="43"/>
        <v>0.12117114985143698</v>
      </c>
      <c r="D170" s="308" t="e">
        <f t="shared" si="43"/>
        <v>#DIV/0!</v>
      </c>
      <c r="E170" s="280" t="e">
        <f t="shared" si="43"/>
        <v>#REF!</v>
      </c>
      <c r="F170" s="308" t="e">
        <f t="shared" si="43"/>
        <v>#DIV/0!</v>
      </c>
      <c r="G170" s="280" t="e">
        <f t="shared" si="43"/>
        <v>#REF!</v>
      </c>
      <c r="H170" s="280" t="e">
        <f t="shared" si="43"/>
        <v>#REF!</v>
      </c>
      <c r="I170" s="308">
        <v>0.2</v>
      </c>
      <c r="J170" s="280" t="e">
        <f aca="true" t="shared" si="44" ref="J170:AD170">J169/J4</f>
        <v>#REF!</v>
      </c>
      <c r="K170" s="308" t="e">
        <f t="shared" si="44"/>
        <v>#DIV/0!</v>
      </c>
      <c r="L170" s="280" t="e">
        <f t="shared" si="44"/>
        <v>#REF!</v>
      </c>
      <c r="M170" s="308" t="e">
        <f t="shared" si="44"/>
        <v>#DIV/0!</v>
      </c>
      <c r="N170" s="280" t="e">
        <f t="shared" si="44"/>
        <v>#REF!</v>
      </c>
      <c r="O170" s="280" t="e">
        <f t="shared" si="44"/>
        <v>#REF!</v>
      </c>
      <c r="P170" s="308" t="e">
        <f t="shared" si="44"/>
        <v>#DIV/0!</v>
      </c>
      <c r="Q170" s="280" t="e">
        <f t="shared" si="44"/>
        <v>#REF!</v>
      </c>
      <c r="R170" s="308" t="e">
        <f t="shared" si="44"/>
        <v>#DIV/0!</v>
      </c>
      <c r="S170" s="280" t="e">
        <f t="shared" si="44"/>
        <v>#REF!</v>
      </c>
      <c r="T170" s="308" t="e">
        <f t="shared" si="44"/>
        <v>#DIV/0!</v>
      </c>
      <c r="U170" s="280" t="e">
        <f t="shared" si="44"/>
        <v>#REF!</v>
      </c>
      <c r="V170" s="280" t="e">
        <f t="shared" si="44"/>
        <v>#REF!</v>
      </c>
      <c r="W170" s="308" t="e">
        <f t="shared" si="44"/>
        <v>#DIV/0!</v>
      </c>
      <c r="X170" s="280" t="e">
        <f t="shared" si="44"/>
        <v>#DIV/0!</v>
      </c>
      <c r="Y170" s="308" t="e">
        <f t="shared" si="44"/>
        <v>#DIV/0!</v>
      </c>
      <c r="Z170" s="280" t="e">
        <f t="shared" si="44"/>
        <v>#DIV/0!</v>
      </c>
      <c r="AA170" s="308" t="e">
        <f t="shared" si="44"/>
        <v>#DIV/0!</v>
      </c>
      <c r="AB170" s="280" t="e">
        <f t="shared" si="44"/>
        <v>#DIV/0!</v>
      </c>
      <c r="AC170" s="280" t="e">
        <f t="shared" si="44"/>
        <v>#DIV/0!</v>
      </c>
      <c r="AD170" s="280">
        <f t="shared" si="44"/>
        <v>0</v>
      </c>
      <c r="AE170" s="280" t="e">
        <f>AE169/#REF!</f>
        <v>#REF!</v>
      </c>
    </row>
    <row r="171" spans="1:31" s="426" customFormat="1" ht="26.25" customHeight="1" outlineLevel="1">
      <c r="A171" s="427" t="s">
        <v>304</v>
      </c>
      <c r="B171" s="424"/>
      <c r="C171" s="422">
        <f>C169-C167+C152+C151</f>
        <v>181038.7857142857</v>
      </c>
      <c r="D171" s="306"/>
      <c r="E171" s="422" t="e">
        <f aca="true" t="shared" si="45" ref="E171:AE171">E169-E167+E152+E151</f>
        <v>#REF!</v>
      </c>
      <c r="F171" s="306">
        <f t="shared" si="45"/>
        <v>0</v>
      </c>
      <c r="G171" s="422" t="e">
        <f t="shared" si="45"/>
        <v>#REF!</v>
      </c>
      <c r="H171" s="423" t="e">
        <f t="shared" si="45"/>
        <v>#REF!</v>
      </c>
      <c r="I171" s="421">
        <f t="shared" si="45"/>
        <v>291300</v>
      </c>
      <c r="J171" s="422" t="e">
        <f t="shared" si="45"/>
        <v>#REF!</v>
      </c>
      <c r="K171" s="421">
        <f t="shared" si="45"/>
        <v>0</v>
      </c>
      <c r="L171" s="422" t="e">
        <f t="shared" si="45"/>
        <v>#REF!</v>
      </c>
      <c r="M171" s="421">
        <f t="shared" si="45"/>
        <v>0</v>
      </c>
      <c r="N171" s="422" t="e">
        <f t="shared" si="45"/>
        <v>#REF!</v>
      </c>
      <c r="O171" s="425" t="e">
        <f t="shared" si="45"/>
        <v>#REF!</v>
      </c>
      <c r="P171" s="421">
        <f t="shared" si="45"/>
        <v>0</v>
      </c>
      <c r="Q171" s="422" t="e">
        <f t="shared" si="45"/>
        <v>#REF!</v>
      </c>
      <c r="R171" s="421">
        <f t="shared" si="45"/>
        <v>0</v>
      </c>
      <c r="S171" s="422" t="e">
        <f t="shared" si="45"/>
        <v>#REF!</v>
      </c>
      <c r="T171" s="421">
        <f t="shared" si="45"/>
        <v>0</v>
      </c>
      <c r="U171" s="422" t="e">
        <f t="shared" si="45"/>
        <v>#REF!</v>
      </c>
      <c r="V171" s="425" t="e">
        <f t="shared" si="45"/>
        <v>#REF!</v>
      </c>
      <c r="W171" s="421">
        <f t="shared" si="45"/>
        <v>0</v>
      </c>
      <c r="X171" s="422">
        <f t="shared" si="45"/>
        <v>0</v>
      </c>
      <c r="Y171" s="421">
        <f t="shared" si="45"/>
        <v>0</v>
      </c>
      <c r="Z171" s="422">
        <f t="shared" si="45"/>
        <v>0</v>
      </c>
      <c r="AA171" s="421">
        <f t="shared" si="45"/>
        <v>0</v>
      </c>
      <c r="AB171" s="422">
        <f t="shared" si="45"/>
        <v>0</v>
      </c>
      <c r="AC171" s="425">
        <f t="shared" si="45"/>
        <v>0</v>
      </c>
      <c r="AD171" s="422">
        <f t="shared" si="45"/>
        <v>0</v>
      </c>
      <c r="AE171" s="425" t="e">
        <f t="shared" si="45"/>
        <v>#REF!</v>
      </c>
    </row>
    <row r="172" spans="1:31" s="233" customFormat="1" ht="12.75" customHeight="1">
      <c r="A172" s="231" t="s">
        <v>15</v>
      </c>
      <c r="B172" s="341"/>
      <c r="C172" s="232">
        <f>C171/C4</f>
        <v>0.12117114985143698</v>
      </c>
      <c r="D172" s="306"/>
      <c r="E172" s="232" t="e">
        <f>E171/E4</f>
        <v>#REF!</v>
      </c>
      <c r="F172" s="306"/>
      <c r="G172" s="232" t="e">
        <f aca="true" t="shared" si="46" ref="G172:AE172">G171/G4</f>
        <v>#REF!</v>
      </c>
      <c r="H172" s="232" t="e">
        <f t="shared" si="46"/>
        <v>#REF!</v>
      </c>
      <c r="I172" s="308" t="e">
        <f t="shared" si="46"/>
        <v>#DIV/0!</v>
      </c>
      <c r="J172" s="232" t="e">
        <f t="shared" si="46"/>
        <v>#REF!</v>
      </c>
      <c r="K172" s="308" t="e">
        <f t="shared" si="46"/>
        <v>#DIV/0!</v>
      </c>
      <c r="L172" s="232" t="e">
        <f t="shared" si="46"/>
        <v>#REF!</v>
      </c>
      <c r="M172" s="308" t="e">
        <f t="shared" si="46"/>
        <v>#DIV/0!</v>
      </c>
      <c r="N172" s="232" t="e">
        <f t="shared" si="46"/>
        <v>#REF!</v>
      </c>
      <c r="O172" s="232" t="e">
        <f t="shared" si="46"/>
        <v>#REF!</v>
      </c>
      <c r="P172" s="308" t="e">
        <f t="shared" si="46"/>
        <v>#DIV/0!</v>
      </c>
      <c r="Q172" s="232" t="e">
        <f t="shared" si="46"/>
        <v>#REF!</v>
      </c>
      <c r="R172" s="308" t="e">
        <f t="shared" si="46"/>
        <v>#DIV/0!</v>
      </c>
      <c r="S172" s="232" t="e">
        <f t="shared" si="46"/>
        <v>#REF!</v>
      </c>
      <c r="T172" s="308" t="e">
        <f t="shared" si="46"/>
        <v>#DIV/0!</v>
      </c>
      <c r="U172" s="232" t="e">
        <f t="shared" si="46"/>
        <v>#REF!</v>
      </c>
      <c r="V172" s="232" t="e">
        <f t="shared" si="46"/>
        <v>#REF!</v>
      </c>
      <c r="W172" s="308" t="e">
        <f t="shared" si="46"/>
        <v>#DIV/0!</v>
      </c>
      <c r="X172" s="232" t="e">
        <f t="shared" si="46"/>
        <v>#DIV/0!</v>
      </c>
      <c r="Y172" s="308" t="e">
        <f t="shared" si="46"/>
        <v>#DIV/0!</v>
      </c>
      <c r="Z172" s="232" t="e">
        <f t="shared" si="46"/>
        <v>#DIV/0!</v>
      </c>
      <c r="AA172" s="308" t="e">
        <f t="shared" si="46"/>
        <v>#DIV/0!</v>
      </c>
      <c r="AB172" s="232" t="e">
        <f t="shared" si="46"/>
        <v>#DIV/0!</v>
      </c>
      <c r="AC172" s="232" t="e">
        <f t="shared" si="46"/>
        <v>#DIV/0!</v>
      </c>
      <c r="AD172" s="232">
        <f t="shared" si="46"/>
        <v>0</v>
      </c>
      <c r="AE172" s="232" t="e">
        <f t="shared" si="46"/>
        <v>#REF!</v>
      </c>
    </row>
    <row r="173" spans="1:47" s="419" customFormat="1" ht="15" customHeight="1">
      <c r="A173" s="416" t="s">
        <v>59</v>
      </c>
      <c r="B173" s="342"/>
      <c r="C173" s="309">
        <f>'01'!Q134</f>
        <v>14127.214285714284</v>
      </c>
      <c r="D173" s="306"/>
      <c r="E173" s="309" t="e">
        <f>#REF!</f>
        <v>#REF!</v>
      </c>
      <c r="F173" s="306"/>
      <c r="G173" s="309" t="e">
        <f>#REF!</f>
        <v>#REF!</v>
      </c>
      <c r="H173" s="544">
        <v>670736</v>
      </c>
      <c r="I173" s="309"/>
      <c r="J173" s="309" t="e">
        <f>#REF!</f>
        <v>#REF!</v>
      </c>
      <c r="K173" s="309"/>
      <c r="L173" s="309" t="e">
        <f>#REF!</f>
        <v>#REF!</v>
      </c>
      <c r="M173" s="309"/>
      <c r="N173" s="309" t="e">
        <f>#REF!</f>
        <v>#REF!</v>
      </c>
      <c r="O173" s="417">
        <v>53950</v>
      </c>
      <c r="P173" s="309" t="e">
        <f>#REF!</f>
        <v>#REF!</v>
      </c>
      <c r="Q173" s="309" t="e">
        <f>#REF!</f>
        <v>#REF!</v>
      </c>
      <c r="R173" s="309" t="e">
        <f>#REF!</f>
        <v>#REF!</v>
      </c>
      <c r="S173" s="309" t="e">
        <f>#REF!</f>
        <v>#REF!</v>
      </c>
      <c r="T173" s="309" t="e">
        <f>#REF!</f>
        <v>#REF!</v>
      </c>
      <c r="U173" s="309" t="e">
        <f>#REF!</f>
        <v>#REF!</v>
      </c>
      <c r="V173" s="417" t="e">
        <f>#REF!</f>
        <v>#REF!</v>
      </c>
      <c r="W173" s="309" t="e">
        <f>#REF!</f>
        <v>#REF!</v>
      </c>
      <c r="X173" s="309" t="e">
        <f>#REF!</f>
        <v>#REF!</v>
      </c>
      <c r="Y173" s="309" t="e">
        <f>#REF!</f>
        <v>#REF!</v>
      </c>
      <c r="Z173" s="309" t="e">
        <f>#REF!</f>
        <v>#REF!</v>
      </c>
      <c r="AA173" s="309" t="e">
        <f>#REF!</f>
        <v>#REF!</v>
      </c>
      <c r="AB173" s="309" t="e">
        <f>#REF!</f>
        <v>#REF!</v>
      </c>
      <c r="AC173" s="417" t="e">
        <f>#REF!</f>
        <v>#REF!</v>
      </c>
      <c r="AD173" s="309" t="e">
        <f>#REF!</f>
        <v>#REF!</v>
      </c>
      <c r="AE173" s="417" t="e">
        <f>#REF!</f>
        <v>#REF!</v>
      </c>
      <c r="AF173" s="418">
        <v>635078.357142857</v>
      </c>
      <c r="AG173" s="418"/>
      <c r="AH173" s="418"/>
      <c r="AI173" s="418"/>
      <c r="AJ173" s="418"/>
      <c r="AK173" s="418"/>
      <c r="AL173" s="418"/>
      <c r="AM173" s="418"/>
      <c r="AN173" s="418"/>
      <c r="AO173" s="418"/>
      <c r="AP173" s="418"/>
      <c r="AT173" s="420"/>
      <c r="AU173" s="420"/>
    </row>
    <row r="174" spans="1:47" s="127" customFormat="1" ht="18.75" customHeight="1">
      <c r="A174" s="128" t="s">
        <v>98</v>
      </c>
      <c r="B174" s="343"/>
      <c r="C174" s="129">
        <f aca="true" t="shared" si="47" ref="C174:T174">IF(C171&gt;0,((C171-C24-C139-C180-C184)*0.2),0)</f>
        <v>36207.75714285715</v>
      </c>
      <c r="D174" s="129">
        <f t="shared" si="47"/>
        <v>0</v>
      </c>
      <c r="E174" s="129" t="e">
        <f t="shared" si="47"/>
        <v>#REF!</v>
      </c>
      <c r="F174" s="129">
        <f t="shared" si="47"/>
        <v>0</v>
      </c>
      <c r="G174" s="129" t="e">
        <f t="shared" si="47"/>
        <v>#REF!</v>
      </c>
      <c r="H174" s="129" t="e">
        <f t="shared" si="47"/>
        <v>#REF!</v>
      </c>
      <c r="I174" s="129">
        <f t="shared" si="47"/>
        <v>28000</v>
      </c>
      <c r="J174" s="129" t="e">
        <f t="shared" si="47"/>
        <v>#REF!</v>
      </c>
      <c r="K174" s="129">
        <f t="shared" si="47"/>
        <v>0</v>
      </c>
      <c r="L174" s="129" t="e">
        <f t="shared" si="47"/>
        <v>#REF!</v>
      </c>
      <c r="M174" s="129">
        <f t="shared" si="47"/>
        <v>0</v>
      </c>
      <c r="N174" s="129" t="e">
        <f t="shared" si="47"/>
        <v>#REF!</v>
      </c>
      <c r="O174" s="129" t="e">
        <f t="shared" si="47"/>
        <v>#REF!</v>
      </c>
      <c r="P174" s="129">
        <f t="shared" si="47"/>
        <v>0</v>
      </c>
      <c r="Q174" s="129" t="e">
        <f t="shared" si="47"/>
        <v>#REF!</v>
      </c>
      <c r="R174" s="129">
        <f t="shared" si="47"/>
        <v>0</v>
      </c>
      <c r="S174" s="129" t="e">
        <f t="shared" si="47"/>
        <v>#REF!</v>
      </c>
      <c r="T174" s="129">
        <f t="shared" si="47"/>
        <v>0</v>
      </c>
      <c r="U174" s="129" t="e">
        <f>#REF!</f>
        <v>#REF!</v>
      </c>
      <c r="V174" s="129" t="e">
        <f aca="true" t="shared" si="48" ref="V174:AE174">IF(V171&gt;0,((V171-V24-V139-V180-V184)*0.2),0)</f>
        <v>#REF!</v>
      </c>
      <c r="W174" s="129">
        <f t="shared" si="48"/>
        <v>0</v>
      </c>
      <c r="X174" s="129">
        <f t="shared" si="48"/>
        <v>0</v>
      </c>
      <c r="Y174" s="129">
        <f t="shared" si="48"/>
        <v>0</v>
      </c>
      <c r="Z174" s="129">
        <f t="shared" si="48"/>
        <v>0</v>
      </c>
      <c r="AA174" s="129">
        <f t="shared" si="48"/>
        <v>0</v>
      </c>
      <c r="AB174" s="129">
        <f t="shared" si="48"/>
        <v>0</v>
      </c>
      <c r="AC174" s="129">
        <f t="shared" si="48"/>
        <v>0</v>
      </c>
      <c r="AD174" s="129">
        <f t="shared" si="48"/>
        <v>0</v>
      </c>
      <c r="AE174" s="129" t="e">
        <f t="shared" si="48"/>
        <v>#REF!</v>
      </c>
      <c r="AF174" s="126">
        <v>1054463.1725714288</v>
      </c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T174" s="95"/>
      <c r="AU174" s="95"/>
    </row>
    <row r="175" spans="1:31" s="194" customFormat="1" ht="14.25" customHeight="1" outlineLevel="1">
      <c r="A175" s="191" t="s">
        <v>138</v>
      </c>
      <c r="B175" s="324"/>
      <c r="C175" s="192"/>
      <c r="D175" s="291"/>
      <c r="E175" s="192"/>
      <c r="F175" s="291"/>
      <c r="G175" s="192"/>
      <c r="H175" s="251">
        <f t="shared" si="22"/>
        <v>0</v>
      </c>
      <c r="I175" s="291"/>
      <c r="J175" s="192"/>
      <c r="K175" s="291"/>
      <c r="L175" s="192"/>
      <c r="M175" s="291"/>
      <c r="N175" s="192"/>
      <c r="O175" s="251">
        <f t="shared" si="23"/>
        <v>0</v>
      </c>
      <c r="P175" s="291"/>
      <c r="Q175" s="192"/>
      <c r="R175" s="291"/>
      <c r="S175" s="192"/>
      <c r="T175" s="291"/>
      <c r="U175" s="192"/>
      <c r="V175" s="251">
        <f t="shared" si="24"/>
        <v>0</v>
      </c>
      <c r="W175" s="291"/>
      <c r="X175" s="192"/>
      <c r="Y175" s="291"/>
      <c r="Z175" s="192"/>
      <c r="AA175" s="291"/>
      <c r="AB175" s="192"/>
      <c r="AC175" s="251">
        <f>X175+Z175+AB175</f>
        <v>0</v>
      </c>
      <c r="AD175" s="193"/>
      <c r="AE175" s="251"/>
    </row>
    <row r="176" spans="1:31" s="230" customFormat="1" ht="12.75" customHeight="1">
      <c r="A176" s="229" t="s">
        <v>104</v>
      </c>
      <c r="B176" s="344"/>
      <c r="C176" s="214">
        <f>(C173+C174)/C4</f>
        <v>0.03368972202103069</v>
      </c>
      <c r="D176" s="310"/>
      <c r="E176" s="214" t="e">
        <f>(E173+E174)/E4</f>
        <v>#REF!</v>
      </c>
      <c r="F176" s="310"/>
      <c r="G176" s="214" t="e">
        <f aca="true" t="shared" si="49" ref="G176:AD176">(G173+G174)/G4</f>
        <v>#REF!</v>
      </c>
      <c r="H176" s="214" t="e">
        <f t="shared" si="49"/>
        <v>#REF!</v>
      </c>
      <c r="I176" s="310" t="e">
        <f t="shared" si="49"/>
        <v>#DIV/0!</v>
      </c>
      <c r="J176" s="214" t="e">
        <f t="shared" si="49"/>
        <v>#REF!</v>
      </c>
      <c r="K176" s="310" t="e">
        <f t="shared" si="49"/>
        <v>#DIV/0!</v>
      </c>
      <c r="L176" s="214" t="e">
        <f t="shared" si="49"/>
        <v>#REF!</v>
      </c>
      <c r="M176" s="310" t="e">
        <f t="shared" si="49"/>
        <v>#DIV/0!</v>
      </c>
      <c r="N176" s="214" t="e">
        <f t="shared" si="49"/>
        <v>#REF!</v>
      </c>
      <c r="O176" s="214" t="e">
        <f t="shared" si="49"/>
        <v>#REF!</v>
      </c>
      <c r="P176" s="310" t="e">
        <f t="shared" si="49"/>
        <v>#REF!</v>
      </c>
      <c r="Q176" s="214" t="e">
        <f t="shared" si="49"/>
        <v>#REF!</v>
      </c>
      <c r="R176" s="310" t="e">
        <f t="shared" si="49"/>
        <v>#REF!</v>
      </c>
      <c r="S176" s="214" t="e">
        <f t="shared" si="49"/>
        <v>#REF!</v>
      </c>
      <c r="T176" s="310" t="e">
        <f t="shared" si="49"/>
        <v>#REF!</v>
      </c>
      <c r="U176" s="214" t="e">
        <f t="shared" si="49"/>
        <v>#REF!</v>
      </c>
      <c r="V176" s="214" t="e">
        <f t="shared" si="49"/>
        <v>#REF!</v>
      </c>
      <c r="W176" s="310" t="e">
        <f t="shared" si="49"/>
        <v>#REF!</v>
      </c>
      <c r="X176" s="214" t="e">
        <f t="shared" si="49"/>
        <v>#REF!</v>
      </c>
      <c r="Y176" s="310" t="e">
        <f t="shared" si="49"/>
        <v>#REF!</v>
      </c>
      <c r="Z176" s="214" t="e">
        <f t="shared" si="49"/>
        <v>#REF!</v>
      </c>
      <c r="AA176" s="310" t="e">
        <f t="shared" si="49"/>
        <v>#REF!</v>
      </c>
      <c r="AB176" s="214" t="e">
        <f t="shared" si="49"/>
        <v>#REF!</v>
      </c>
      <c r="AC176" s="214" t="e">
        <f t="shared" si="49"/>
        <v>#REF!</v>
      </c>
      <c r="AD176" s="214" t="e">
        <f t="shared" si="49"/>
        <v>#REF!</v>
      </c>
      <c r="AE176" s="214"/>
    </row>
    <row r="177" spans="1:33" s="43" customFormat="1" ht="15.75" customHeight="1">
      <c r="A177" s="134" t="s">
        <v>130</v>
      </c>
      <c r="B177" s="345"/>
      <c r="C177" s="135">
        <f>C171-C174</f>
        <v>144831.02857142856</v>
      </c>
      <c r="D177" s="311"/>
      <c r="E177" s="135" t="e">
        <f>E171-E174</f>
        <v>#REF!</v>
      </c>
      <c r="F177" s="311"/>
      <c r="G177" s="135" t="e">
        <f>G171-G174</f>
        <v>#REF!</v>
      </c>
      <c r="H177" s="252" t="e">
        <f>C177+E177+G177</f>
        <v>#REF!</v>
      </c>
      <c r="I177" s="311">
        <f aca="true" t="shared" si="50" ref="I177:N177">I171-I174</f>
        <v>263300</v>
      </c>
      <c r="J177" s="135" t="e">
        <f t="shared" si="50"/>
        <v>#REF!</v>
      </c>
      <c r="K177" s="311">
        <f t="shared" si="50"/>
        <v>0</v>
      </c>
      <c r="L177" s="135" t="e">
        <f t="shared" si="50"/>
        <v>#REF!</v>
      </c>
      <c r="M177" s="311">
        <f t="shared" si="50"/>
        <v>0</v>
      </c>
      <c r="N177" s="135" t="e">
        <f t="shared" si="50"/>
        <v>#REF!</v>
      </c>
      <c r="O177" s="252" t="e">
        <f>J177+L177+N177</f>
        <v>#REF!</v>
      </c>
      <c r="P177" s="311">
        <f aca="true" t="shared" si="51" ref="P177:U177">P171-P174</f>
        <v>0</v>
      </c>
      <c r="Q177" s="135" t="e">
        <f>Q171-Q174</f>
        <v>#REF!</v>
      </c>
      <c r="R177" s="311">
        <f t="shared" si="51"/>
        <v>0</v>
      </c>
      <c r="S177" s="135" t="e">
        <f t="shared" si="51"/>
        <v>#REF!</v>
      </c>
      <c r="T177" s="311">
        <f t="shared" si="51"/>
        <v>0</v>
      </c>
      <c r="U177" s="135" t="e">
        <f t="shared" si="51"/>
        <v>#REF!</v>
      </c>
      <c r="V177" s="252" t="e">
        <f>Q177+S177+U177</f>
        <v>#REF!</v>
      </c>
      <c r="W177" s="311">
        <f aca="true" t="shared" si="52" ref="W177:AB177">W171-W174</f>
        <v>0</v>
      </c>
      <c r="X177" s="135">
        <f t="shared" si="52"/>
        <v>0</v>
      </c>
      <c r="Y177" s="311">
        <f t="shared" si="52"/>
        <v>0</v>
      </c>
      <c r="Z177" s="135">
        <f t="shared" si="52"/>
        <v>0</v>
      </c>
      <c r="AA177" s="311">
        <f t="shared" si="52"/>
        <v>0</v>
      </c>
      <c r="AB177" s="135">
        <f t="shared" si="52"/>
        <v>0</v>
      </c>
      <c r="AC177" s="252">
        <f>X177+Z177+AB177</f>
        <v>0</v>
      </c>
      <c r="AD177" s="135">
        <f>AD171-AD174</f>
        <v>0</v>
      </c>
      <c r="AE177" s="252" t="e">
        <f>AC177+V177+O177+H177</f>
        <v>#REF!</v>
      </c>
      <c r="AF177" s="43" t="e">
        <f>AE177-600000-1500000</f>
        <v>#REF!</v>
      </c>
      <c r="AG177" s="43" t="e">
        <f>#REF!-AF207-AF174-AF173-#REF!</f>
        <v>#REF!</v>
      </c>
    </row>
    <row r="178" spans="1:31" s="230" customFormat="1" ht="12.75" customHeight="1">
      <c r="A178" s="229" t="s">
        <v>65</v>
      </c>
      <c r="B178" s="344"/>
      <c r="C178" s="214">
        <f>C177/C4</f>
        <v>0.09693691988114958</v>
      </c>
      <c r="D178" s="310"/>
      <c r="E178" s="214" t="e">
        <f>E177/E4</f>
        <v>#REF!</v>
      </c>
      <c r="F178" s="310"/>
      <c r="G178" s="214" t="e">
        <f aca="true" t="shared" si="53" ref="G178:AD178">G177/G4</f>
        <v>#REF!</v>
      </c>
      <c r="H178" s="214" t="e">
        <f t="shared" si="53"/>
        <v>#REF!</v>
      </c>
      <c r="I178" s="310" t="e">
        <f t="shared" si="53"/>
        <v>#DIV/0!</v>
      </c>
      <c r="J178" s="214" t="e">
        <f t="shared" si="53"/>
        <v>#REF!</v>
      </c>
      <c r="K178" s="310" t="e">
        <f t="shared" si="53"/>
        <v>#DIV/0!</v>
      </c>
      <c r="L178" s="214" t="e">
        <f t="shared" si="53"/>
        <v>#REF!</v>
      </c>
      <c r="M178" s="310" t="e">
        <f t="shared" si="53"/>
        <v>#DIV/0!</v>
      </c>
      <c r="N178" s="214" t="e">
        <f t="shared" si="53"/>
        <v>#REF!</v>
      </c>
      <c r="O178" s="214" t="e">
        <f t="shared" si="53"/>
        <v>#REF!</v>
      </c>
      <c r="P178" s="310" t="e">
        <f t="shared" si="53"/>
        <v>#DIV/0!</v>
      </c>
      <c r="Q178" s="214" t="e">
        <f t="shared" si="53"/>
        <v>#REF!</v>
      </c>
      <c r="R178" s="310" t="e">
        <f t="shared" si="53"/>
        <v>#DIV/0!</v>
      </c>
      <c r="S178" s="214" t="e">
        <f t="shared" si="53"/>
        <v>#REF!</v>
      </c>
      <c r="T178" s="310" t="e">
        <f t="shared" si="53"/>
        <v>#DIV/0!</v>
      </c>
      <c r="U178" s="214" t="e">
        <f t="shared" si="53"/>
        <v>#REF!</v>
      </c>
      <c r="V178" s="214" t="e">
        <f t="shared" si="53"/>
        <v>#REF!</v>
      </c>
      <c r="W178" s="310" t="e">
        <f t="shared" si="53"/>
        <v>#DIV/0!</v>
      </c>
      <c r="X178" s="214" t="e">
        <f t="shared" si="53"/>
        <v>#DIV/0!</v>
      </c>
      <c r="Y178" s="310" t="e">
        <f t="shared" si="53"/>
        <v>#DIV/0!</v>
      </c>
      <c r="Z178" s="214" t="e">
        <f t="shared" si="53"/>
        <v>#DIV/0!</v>
      </c>
      <c r="AA178" s="310" t="e">
        <f t="shared" si="53"/>
        <v>#DIV/0!</v>
      </c>
      <c r="AB178" s="214" t="e">
        <f t="shared" si="53"/>
        <v>#DIV/0!</v>
      </c>
      <c r="AC178" s="214" t="e">
        <f t="shared" si="53"/>
        <v>#DIV/0!</v>
      </c>
      <c r="AD178" s="214">
        <f t="shared" si="53"/>
        <v>0</v>
      </c>
      <c r="AE178" s="214"/>
    </row>
    <row r="179" spans="1:47" s="74" customFormat="1" ht="12" customHeight="1" thickBot="1">
      <c r="A179" s="70" t="s">
        <v>40</v>
      </c>
      <c r="B179" s="346"/>
      <c r="C179" s="216">
        <v>0.05</v>
      </c>
      <c r="D179" s="312"/>
      <c r="E179" s="216">
        <v>0.05</v>
      </c>
      <c r="F179" s="312"/>
      <c r="G179" s="71">
        <v>0.05</v>
      </c>
      <c r="H179" s="253">
        <f t="shared" si="22"/>
        <v>0.15000000000000002</v>
      </c>
      <c r="I179" s="312">
        <v>0.05</v>
      </c>
      <c r="J179" s="71">
        <v>0.05</v>
      </c>
      <c r="K179" s="312">
        <v>0.05</v>
      </c>
      <c r="L179" s="71">
        <v>0.05</v>
      </c>
      <c r="M179" s="312">
        <v>0.05</v>
      </c>
      <c r="N179" s="71">
        <v>0.05</v>
      </c>
      <c r="O179" s="253">
        <f t="shared" si="23"/>
        <v>0.15000000000000002</v>
      </c>
      <c r="P179" s="312">
        <v>0.05</v>
      </c>
      <c r="Q179" s="71">
        <v>0.05</v>
      </c>
      <c r="R179" s="312">
        <v>0.05</v>
      </c>
      <c r="S179" s="71">
        <v>0.05</v>
      </c>
      <c r="T179" s="312">
        <v>0.05</v>
      </c>
      <c r="U179" s="71">
        <v>0.05</v>
      </c>
      <c r="V179" s="253">
        <f t="shared" si="24"/>
        <v>0.15000000000000002</v>
      </c>
      <c r="W179" s="312">
        <v>0.05</v>
      </c>
      <c r="X179" s="71">
        <v>0.05</v>
      </c>
      <c r="Y179" s="312">
        <v>0.05</v>
      </c>
      <c r="Z179" s="71">
        <v>0.05</v>
      </c>
      <c r="AA179" s="312">
        <v>0.05</v>
      </c>
      <c r="AB179" s="71">
        <v>0.05</v>
      </c>
      <c r="AC179" s="253">
        <f aca="true" t="shared" si="54" ref="AC179:AC191">X179+Z179+AB179</f>
        <v>0.15000000000000002</v>
      </c>
      <c r="AD179" s="72">
        <v>0.05</v>
      </c>
      <c r="AE179" s="25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T179" s="75"/>
      <c r="AU179" s="75"/>
    </row>
    <row r="180" spans="1:31" s="219" customFormat="1" ht="12.75" customHeight="1" outlineLevel="1">
      <c r="A180" s="182" t="s">
        <v>149</v>
      </c>
      <c r="B180" s="336"/>
      <c r="C180" s="183">
        <f>SUM(C182:C183)</f>
        <v>0</v>
      </c>
      <c r="D180" s="303"/>
      <c r="E180" s="183">
        <f>SUM(E182:E183)</f>
        <v>0</v>
      </c>
      <c r="F180" s="303"/>
      <c r="G180" s="183">
        <f>SUM(G182:G183)</f>
        <v>0</v>
      </c>
      <c r="H180" s="247">
        <f t="shared" si="22"/>
        <v>0</v>
      </c>
      <c r="I180" s="303">
        <f aca="true" t="shared" si="55" ref="I180:N180">SUM(I182:I183)</f>
        <v>0</v>
      </c>
      <c r="J180" s="183">
        <f t="shared" si="55"/>
        <v>0</v>
      </c>
      <c r="K180" s="303">
        <f t="shared" si="55"/>
        <v>0</v>
      </c>
      <c r="L180" s="183">
        <f t="shared" si="55"/>
        <v>0</v>
      </c>
      <c r="M180" s="303">
        <f t="shared" si="55"/>
        <v>0</v>
      </c>
      <c r="N180" s="183">
        <f t="shared" si="55"/>
        <v>0</v>
      </c>
      <c r="O180" s="247">
        <f t="shared" si="23"/>
        <v>0</v>
      </c>
      <c r="P180" s="303">
        <f aca="true" t="shared" si="56" ref="P180:U180">SUM(P182:P183)</f>
        <v>0</v>
      </c>
      <c r="Q180" s="183">
        <f t="shared" si="56"/>
        <v>0</v>
      </c>
      <c r="R180" s="303">
        <f t="shared" si="56"/>
        <v>0</v>
      </c>
      <c r="S180" s="183">
        <f t="shared" si="56"/>
        <v>0</v>
      </c>
      <c r="T180" s="303">
        <f t="shared" si="56"/>
        <v>0</v>
      </c>
      <c r="U180" s="183">
        <f t="shared" si="56"/>
        <v>0</v>
      </c>
      <c r="V180" s="247">
        <f t="shared" si="24"/>
        <v>0</v>
      </c>
      <c r="W180" s="303">
        <f aca="true" t="shared" si="57" ref="W180:AB180">SUM(W182:W183)</f>
        <v>0</v>
      </c>
      <c r="X180" s="183">
        <f t="shared" si="57"/>
        <v>0</v>
      </c>
      <c r="Y180" s="303">
        <f t="shared" si="57"/>
        <v>0</v>
      </c>
      <c r="Z180" s="183">
        <f t="shared" si="57"/>
        <v>0</v>
      </c>
      <c r="AA180" s="303">
        <f t="shared" si="57"/>
        <v>0</v>
      </c>
      <c r="AB180" s="183">
        <f t="shared" si="57"/>
        <v>0</v>
      </c>
      <c r="AC180" s="247">
        <f t="shared" si="54"/>
        <v>0</v>
      </c>
      <c r="AD180" s="183">
        <f>SUM(AD182:AD183)</f>
        <v>0</v>
      </c>
      <c r="AE180" s="247"/>
    </row>
    <row r="181" spans="1:31" s="543" customFormat="1" ht="12.75" customHeight="1" outlineLevel="1">
      <c r="A181" s="537" t="s">
        <v>654</v>
      </c>
      <c r="B181" s="538"/>
      <c r="C181" s="539"/>
      <c r="D181" s="540"/>
      <c r="E181" s="539"/>
      <c r="F181" s="540"/>
      <c r="G181" s="539"/>
      <c r="H181" s="541">
        <f>C181+E181+G181</f>
        <v>0</v>
      </c>
      <c r="I181" s="540"/>
      <c r="J181" s="539"/>
      <c r="K181" s="540"/>
      <c r="L181" s="539"/>
      <c r="M181" s="540"/>
      <c r="N181" s="539"/>
      <c r="O181" s="541">
        <f>J181+L181+N181</f>
        <v>0</v>
      </c>
      <c r="P181" s="540"/>
      <c r="Q181" s="539">
        <v>213700</v>
      </c>
      <c r="R181" s="540"/>
      <c r="S181" s="539">
        <v>16200</v>
      </c>
      <c r="T181" s="540"/>
      <c r="U181" s="539"/>
      <c r="V181" s="541">
        <f>Q181+S181+U181</f>
        <v>229900</v>
      </c>
      <c r="W181" s="540"/>
      <c r="X181" s="539"/>
      <c r="Y181" s="540"/>
      <c r="Z181" s="539"/>
      <c r="AA181" s="540"/>
      <c r="AB181" s="539"/>
      <c r="AC181" s="541">
        <f>X181+Z181+AB181</f>
        <v>0</v>
      </c>
      <c r="AD181" s="542">
        <f>SUM(B181:R181)</f>
        <v>213700</v>
      </c>
      <c r="AE181" s="541"/>
    </row>
    <row r="182" spans="1:31" s="219" customFormat="1" ht="12.75" customHeight="1" outlineLevel="1">
      <c r="A182" s="65"/>
      <c r="B182" s="324"/>
      <c r="C182" s="15"/>
      <c r="D182" s="291"/>
      <c r="E182" s="15"/>
      <c r="F182" s="291"/>
      <c r="G182" s="15"/>
      <c r="H182" s="235">
        <f t="shared" si="22"/>
        <v>0</v>
      </c>
      <c r="I182" s="291"/>
      <c r="J182" s="15"/>
      <c r="K182" s="291"/>
      <c r="L182" s="15"/>
      <c r="M182" s="291"/>
      <c r="N182" s="15"/>
      <c r="O182" s="235">
        <f t="shared" si="23"/>
        <v>0</v>
      </c>
      <c r="P182" s="291"/>
      <c r="Q182" s="15"/>
      <c r="R182" s="291"/>
      <c r="S182" s="15"/>
      <c r="T182" s="291"/>
      <c r="U182" s="15"/>
      <c r="V182" s="235">
        <f t="shared" si="24"/>
        <v>0</v>
      </c>
      <c r="W182" s="291"/>
      <c r="X182" s="15"/>
      <c r="Y182" s="291"/>
      <c r="Z182" s="15"/>
      <c r="AA182" s="291"/>
      <c r="AB182" s="15"/>
      <c r="AC182" s="235">
        <f t="shared" si="54"/>
        <v>0</v>
      </c>
      <c r="AD182" s="12"/>
      <c r="AE182" s="235"/>
    </row>
    <row r="183" spans="1:31" s="219" customFormat="1" ht="12.75" customHeight="1" outlineLevel="1">
      <c r="A183" s="65" t="s">
        <v>43</v>
      </c>
      <c r="B183" s="324"/>
      <c r="C183" s="15"/>
      <c r="D183" s="291"/>
      <c r="E183" s="15"/>
      <c r="F183" s="291"/>
      <c r="G183" s="15"/>
      <c r="H183" s="235">
        <f t="shared" si="22"/>
        <v>0</v>
      </c>
      <c r="I183" s="291"/>
      <c r="J183" s="15"/>
      <c r="K183" s="291"/>
      <c r="L183" s="15"/>
      <c r="M183" s="291"/>
      <c r="N183" s="15"/>
      <c r="O183" s="235">
        <f t="shared" si="23"/>
        <v>0</v>
      </c>
      <c r="P183" s="291"/>
      <c r="Q183" s="15"/>
      <c r="R183" s="291"/>
      <c r="S183" s="15"/>
      <c r="T183" s="291"/>
      <c r="U183" s="15"/>
      <c r="V183" s="235">
        <f t="shared" si="24"/>
        <v>0</v>
      </c>
      <c r="W183" s="291"/>
      <c r="X183" s="15"/>
      <c r="Y183" s="291"/>
      <c r="Z183" s="15"/>
      <c r="AA183" s="291"/>
      <c r="AB183" s="15"/>
      <c r="AC183" s="235">
        <f t="shared" si="54"/>
        <v>0</v>
      </c>
      <c r="AD183" s="12"/>
      <c r="AE183" s="235"/>
    </row>
    <row r="184" spans="1:31" s="219" customFormat="1" ht="12.75" customHeight="1" outlineLevel="1">
      <c r="A184" s="182"/>
      <c r="B184" s="336"/>
      <c r="C184" s="183"/>
      <c r="D184" s="303"/>
      <c r="E184" s="183"/>
      <c r="F184" s="303"/>
      <c r="G184" s="183"/>
      <c r="H184" s="247"/>
      <c r="I184" s="303"/>
      <c r="J184" s="183"/>
      <c r="K184" s="303"/>
      <c r="L184" s="183"/>
      <c r="M184" s="303"/>
      <c r="N184" s="183"/>
      <c r="O184" s="247"/>
      <c r="P184" s="303"/>
      <c r="Q184" s="183"/>
      <c r="R184" s="303"/>
      <c r="S184" s="183"/>
      <c r="T184" s="303"/>
      <c r="U184" s="183"/>
      <c r="V184" s="247"/>
      <c r="W184" s="303"/>
      <c r="X184" s="183"/>
      <c r="Y184" s="303"/>
      <c r="Z184" s="183"/>
      <c r="AA184" s="303"/>
      <c r="AB184" s="183"/>
      <c r="AC184" s="247"/>
      <c r="AD184" s="184"/>
      <c r="AE184" s="247"/>
    </row>
    <row r="185" spans="1:31" s="219" customFormat="1" ht="12.75" customHeight="1" outlineLevel="1">
      <c r="A185" s="65" t="s">
        <v>62</v>
      </c>
      <c r="B185" s="324"/>
      <c r="C185" s="15"/>
      <c r="D185" s="291"/>
      <c r="E185" s="15"/>
      <c r="F185" s="291"/>
      <c r="G185" s="15"/>
      <c r="H185" s="235">
        <f t="shared" si="22"/>
        <v>0</v>
      </c>
      <c r="I185" s="291"/>
      <c r="J185" s="15"/>
      <c r="K185" s="291"/>
      <c r="L185" s="15"/>
      <c r="M185" s="291"/>
      <c r="N185" s="15"/>
      <c r="O185" s="235">
        <f t="shared" si="23"/>
        <v>0</v>
      </c>
      <c r="P185" s="291"/>
      <c r="Q185" s="15"/>
      <c r="R185" s="291"/>
      <c r="S185" s="15"/>
      <c r="T185" s="291"/>
      <c r="U185" s="15"/>
      <c r="V185" s="235">
        <f t="shared" si="24"/>
        <v>0</v>
      </c>
      <c r="W185" s="291"/>
      <c r="X185" s="15"/>
      <c r="Y185" s="291"/>
      <c r="Z185" s="15"/>
      <c r="AA185" s="291"/>
      <c r="AB185" s="15"/>
      <c r="AC185" s="235">
        <f t="shared" si="54"/>
        <v>0</v>
      </c>
      <c r="AD185" s="12">
        <f>SUM(B185:R185)</f>
        <v>0</v>
      </c>
      <c r="AE185" s="235"/>
    </row>
    <row r="186" spans="1:31" s="219" customFormat="1" ht="12.75" customHeight="1" outlineLevel="1">
      <c r="A186" s="65" t="s">
        <v>63</v>
      </c>
      <c r="B186" s="324"/>
      <c r="C186" s="15"/>
      <c r="D186" s="291"/>
      <c r="E186" s="15"/>
      <c r="F186" s="291"/>
      <c r="G186" s="15"/>
      <c r="H186" s="235">
        <f t="shared" si="22"/>
        <v>0</v>
      </c>
      <c r="I186" s="291"/>
      <c r="J186" s="15"/>
      <c r="K186" s="291"/>
      <c r="L186" s="15"/>
      <c r="M186" s="291"/>
      <c r="N186" s="15"/>
      <c r="O186" s="235">
        <f t="shared" si="23"/>
        <v>0</v>
      </c>
      <c r="P186" s="291"/>
      <c r="Q186" s="15"/>
      <c r="R186" s="291"/>
      <c r="S186" s="15"/>
      <c r="T186" s="291"/>
      <c r="U186" s="15"/>
      <c r="V186" s="235">
        <f t="shared" si="24"/>
        <v>0</v>
      </c>
      <c r="W186" s="291"/>
      <c r="X186" s="15"/>
      <c r="Y186" s="291"/>
      <c r="Z186" s="15"/>
      <c r="AA186" s="291"/>
      <c r="AB186" s="15"/>
      <c r="AC186" s="235">
        <f t="shared" si="54"/>
        <v>0</v>
      </c>
      <c r="AD186" s="12">
        <f>SUM(B186:R186)</f>
        <v>0</v>
      </c>
      <c r="AE186" s="235"/>
    </row>
    <row r="187" spans="1:31" s="219" customFormat="1" ht="12.75" customHeight="1" outlineLevel="1">
      <c r="A187" s="65" t="s">
        <v>44</v>
      </c>
      <c r="B187" s="324"/>
      <c r="C187" s="15"/>
      <c r="D187" s="291"/>
      <c r="E187" s="15"/>
      <c r="F187" s="291"/>
      <c r="G187" s="15"/>
      <c r="H187" s="235">
        <f t="shared" si="22"/>
        <v>0</v>
      </c>
      <c r="I187" s="291"/>
      <c r="J187" s="15"/>
      <c r="K187" s="291"/>
      <c r="L187" s="15"/>
      <c r="M187" s="291"/>
      <c r="N187" s="15"/>
      <c r="O187" s="235">
        <f t="shared" si="23"/>
        <v>0</v>
      </c>
      <c r="P187" s="291"/>
      <c r="Q187" s="15"/>
      <c r="R187" s="291"/>
      <c r="S187" s="15"/>
      <c r="T187" s="291"/>
      <c r="U187" s="15"/>
      <c r="V187" s="235">
        <f t="shared" si="24"/>
        <v>0</v>
      </c>
      <c r="W187" s="291"/>
      <c r="X187" s="15"/>
      <c r="Y187" s="291"/>
      <c r="Z187" s="15"/>
      <c r="AA187" s="291"/>
      <c r="AB187" s="15"/>
      <c r="AC187" s="235">
        <f t="shared" si="54"/>
        <v>0</v>
      </c>
      <c r="AD187" s="12"/>
      <c r="AE187" s="235"/>
    </row>
    <row r="188" spans="1:31" s="219" customFormat="1" ht="12.75" customHeight="1" outlineLevel="1">
      <c r="A188" s="182" t="s">
        <v>155</v>
      </c>
      <c r="B188" s="336">
        <f aca="true" t="shared" si="58" ref="B188:AD188">SUM(B189:B190)</f>
        <v>0</v>
      </c>
      <c r="C188" s="183">
        <f t="shared" si="58"/>
        <v>0</v>
      </c>
      <c r="D188" s="303">
        <f t="shared" si="58"/>
        <v>0</v>
      </c>
      <c r="E188" s="183">
        <f t="shared" si="58"/>
        <v>0</v>
      </c>
      <c r="F188" s="303">
        <f t="shared" si="58"/>
        <v>0</v>
      </c>
      <c r="G188" s="183">
        <f t="shared" si="58"/>
        <v>0</v>
      </c>
      <c r="H188" s="247">
        <f t="shared" si="22"/>
        <v>0</v>
      </c>
      <c r="I188" s="303">
        <f t="shared" si="58"/>
        <v>0</v>
      </c>
      <c r="J188" s="183">
        <f t="shared" si="58"/>
        <v>0</v>
      </c>
      <c r="K188" s="303">
        <f t="shared" si="58"/>
        <v>0</v>
      </c>
      <c r="L188" s="183">
        <f t="shared" si="58"/>
        <v>0</v>
      </c>
      <c r="M188" s="303">
        <f t="shared" si="58"/>
        <v>0</v>
      </c>
      <c r="N188" s="183">
        <f t="shared" si="58"/>
        <v>0</v>
      </c>
      <c r="O188" s="247">
        <f t="shared" si="23"/>
        <v>0</v>
      </c>
      <c r="P188" s="303">
        <f t="shared" si="58"/>
        <v>0</v>
      </c>
      <c r="Q188" s="183">
        <f t="shared" si="58"/>
        <v>0</v>
      </c>
      <c r="R188" s="303">
        <f t="shared" si="58"/>
        <v>0</v>
      </c>
      <c r="S188" s="183">
        <f t="shared" si="58"/>
        <v>0</v>
      </c>
      <c r="T188" s="303">
        <f>SUM(T189:T190)</f>
        <v>0</v>
      </c>
      <c r="U188" s="183">
        <f>SUM(U189:U190)</f>
        <v>0</v>
      </c>
      <c r="V188" s="247">
        <f t="shared" si="24"/>
        <v>0</v>
      </c>
      <c r="W188" s="303">
        <f aca="true" t="shared" si="59" ref="W188:AB188">SUM(W189:W190)</f>
        <v>0</v>
      </c>
      <c r="X188" s="183">
        <f t="shared" si="59"/>
        <v>0</v>
      </c>
      <c r="Y188" s="303">
        <f t="shared" si="59"/>
        <v>0</v>
      </c>
      <c r="Z188" s="183">
        <f t="shared" si="59"/>
        <v>0</v>
      </c>
      <c r="AA188" s="303">
        <f t="shared" si="59"/>
        <v>0</v>
      </c>
      <c r="AB188" s="183">
        <f t="shared" si="59"/>
        <v>0</v>
      </c>
      <c r="AC188" s="247">
        <f t="shared" si="54"/>
        <v>0</v>
      </c>
      <c r="AD188" s="183">
        <f t="shared" si="58"/>
        <v>0</v>
      </c>
      <c r="AE188" s="247"/>
    </row>
    <row r="189" spans="1:31" s="219" customFormat="1" ht="14.25" customHeight="1" outlineLevel="1">
      <c r="A189" s="65" t="s">
        <v>95</v>
      </c>
      <c r="B189" s="324"/>
      <c r="C189" s="15"/>
      <c r="D189" s="291"/>
      <c r="E189" s="221"/>
      <c r="F189" s="291"/>
      <c r="G189" s="15"/>
      <c r="H189" s="248">
        <f t="shared" si="22"/>
        <v>0</v>
      </c>
      <c r="I189" s="291"/>
      <c r="J189" s="15"/>
      <c r="K189" s="291"/>
      <c r="L189" s="15"/>
      <c r="M189" s="291"/>
      <c r="N189" s="15"/>
      <c r="O189" s="248">
        <f t="shared" si="23"/>
        <v>0</v>
      </c>
      <c r="P189" s="291"/>
      <c r="Q189" s="15"/>
      <c r="R189" s="291"/>
      <c r="S189" s="15"/>
      <c r="T189" s="291"/>
      <c r="U189" s="15"/>
      <c r="V189" s="248">
        <f t="shared" si="24"/>
        <v>0</v>
      </c>
      <c r="W189" s="291"/>
      <c r="X189" s="15"/>
      <c r="Y189" s="291"/>
      <c r="Z189" s="15"/>
      <c r="AA189" s="291"/>
      <c r="AB189" s="15"/>
      <c r="AC189" s="248">
        <f t="shared" si="54"/>
        <v>0</v>
      </c>
      <c r="AD189" s="12"/>
      <c r="AE189" s="248"/>
    </row>
    <row r="190" spans="1:31" s="219" customFormat="1" ht="12.75" customHeight="1" outlineLevel="1">
      <c r="A190" s="65" t="s">
        <v>45</v>
      </c>
      <c r="B190" s="324"/>
      <c r="C190" s="15"/>
      <c r="D190" s="291"/>
      <c r="E190" s="15"/>
      <c r="F190" s="291"/>
      <c r="G190" s="15"/>
      <c r="H190" s="235">
        <f>C190+E190+G190</f>
        <v>0</v>
      </c>
      <c r="I190" s="291"/>
      <c r="J190" s="15"/>
      <c r="K190" s="291"/>
      <c r="L190" s="15"/>
      <c r="M190" s="291"/>
      <c r="N190" s="15"/>
      <c r="O190" s="235">
        <f>J190+L190+N190</f>
        <v>0</v>
      </c>
      <c r="P190" s="291"/>
      <c r="Q190" s="15"/>
      <c r="R190" s="291"/>
      <c r="S190" s="15"/>
      <c r="T190" s="291"/>
      <c r="U190" s="15"/>
      <c r="V190" s="235">
        <f>Q190+S190+U190</f>
        <v>0</v>
      </c>
      <c r="W190" s="291"/>
      <c r="X190" s="15"/>
      <c r="Y190" s="291"/>
      <c r="Z190" s="15"/>
      <c r="AA190" s="291"/>
      <c r="AB190" s="15"/>
      <c r="AC190" s="235">
        <f t="shared" si="54"/>
        <v>0</v>
      </c>
      <c r="AD190" s="12"/>
      <c r="AE190" s="235"/>
    </row>
    <row r="191" spans="1:31" s="79" customFormat="1" ht="14.25" customHeight="1">
      <c r="A191" s="76" t="s">
        <v>42</v>
      </c>
      <c r="B191" s="347">
        <f aca="true" t="shared" si="60" ref="B191:G191">B188+B184+B180</f>
        <v>0</v>
      </c>
      <c r="C191" s="77">
        <f t="shared" si="60"/>
        <v>0</v>
      </c>
      <c r="D191" s="313">
        <f t="shared" si="60"/>
        <v>0</v>
      </c>
      <c r="E191" s="77">
        <f t="shared" si="60"/>
        <v>0</v>
      </c>
      <c r="F191" s="313">
        <f t="shared" si="60"/>
        <v>0</v>
      </c>
      <c r="G191" s="77">
        <f t="shared" si="60"/>
        <v>0</v>
      </c>
      <c r="H191" s="254">
        <f>C191+E191+G191</f>
        <v>0</v>
      </c>
      <c r="I191" s="313">
        <f aca="true" t="shared" si="61" ref="I191:N191">I188+I184+I180</f>
        <v>0</v>
      </c>
      <c r="J191" s="77">
        <f t="shared" si="61"/>
        <v>0</v>
      </c>
      <c r="K191" s="313">
        <f t="shared" si="61"/>
        <v>0</v>
      </c>
      <c r="L191" s="77">
        <f t="shared" si="61"/>
        <v>0</v>
      </c>
      <c r="M191" s="313">
        <f t="shared" si="61"/>
        <v>0</v>
      </c>
      <c r="N191" s="77">
        <f t="shared" si="61"/>
        <v>0</v>
      </c>
      <c r="O191" s="254">
        <f>J191+L191+N191</f>
        <v>0</v>
      </c>
      <c r="P191" s="313">
        <f aca="true" t="shared" si="62" ref="P191:U191">P188+P184+P180</f>
        <v>0</v>
      </c>
      <c r="Q191" s="77">
        <f t="shared" si="62"/>
        <v>0</v>
      </c>
      <c r="R191" s="313">
        <f t="shared" si="62"/>
        <v>0</v>
      </c>
      <c r="S191" s="77">
        <f t="shared" si="62"/>
        <v>0</v>
      </c>
      <c r="T191" s="313">
        <f t="shared" si="62"/>
        <v>0</v>
      </c>
      <c r="U191" s="77">
        <f t="shared" si="62"/>
        <v>0</v>
      </c>
      <c r="V191" s="254">
        <f>Q191+S191+U191</f>
        <v>0</v>
      </c>
      <c r="W191" s="313">
        <f aca="true" t="shared" si="63" ref="W191:AB191">W188+W184+W180</f>
        <v>0</v>
      </c>
      <c r="X191" s="77">
        <f t="shared" si="63"/>
        <v>0</v>
      </c>
      <c r="Y191" s="313">
        <f t="shared" si="63"/>
        <v>0</v>
      </c>
      <c r="Z191" s="77">
        <f t="shared" si="63"/>
        <v>0</v>
      </c>
      <c r="AA191" s="313">
        <f t="shared" si="63"/>
        <v>0</v>
      </c>
      <c r="AB191" s="77">
        <f t="shared" si="63"/>
        <v>0</v>
      </c>
      <c r="AC191" s="254">
        <f t="shared" si="54"/>
        <v>0</v>
      </c>
      <c r="AD191" s="78">
        <f>AD188+AD184+AD180</f>
        <v>0</v>
      </c>
      <c r="AE191" s="254"/>
    </row>
    <row r="192" spans="1:31" s="227" customFormat="1" ht="12.75" customHeight="1">
      <c r="A192" s="228" t="s">
        <v>103</v>
      </c>
      <c r="B192" s="323" t="e">
        <f>IF(#REF!&gt;0,B191/B4,0)</f>
        <v>#REF!</v>
      </c>
      <c r="C192" s="207" t="e">
        <f>IF(#REF!&gt;0,C191/C4,0)</f>
        <v>#REF!</v>
      </c>
      <c r="D192" s="290" t="e">
        <f>IF(#REF!&gt;0,D191/D4,0)</f>
        <v>#REF!</v>
      </c>
      <c r="E192" s="207" t="e">
        <f>IF(#REF!&gt;0,E191/E4,0)</f>
        <v>#REF!</v>
      </c>
      <c r="F192" s="290" t="e">
        <f>IF(#REF!&gt;0,F191/F4,0)</f>
        <v>#REF!</v>
      </c>
      <c r="G192" s="207" t="e">
        <f>IF(#REF!&gt;0,G191/G4,0)</f>
        <v>#REF!</v>
      </c>
      <c r="H192" s="207" t="e">
        <f>IF(#REF!&gt;0,H191/H4,0)</f>
        <v>#REF!</v>
      </c>
      <c r="I192" s="290" t="e">
        <f>IF(#REF!&gt;0,I191/I4,0)</f>
        <v>#REF!</v>
      </c>
      <c r="J192" s="207" t="e">
        <f>IF(#REF!&gt;0,J191/J4,0)</f>
        <v>#REF!</v>
      </c>
      <c r="K192" s="290" t="e">
        <f>IF(#REF!&gt;0,K191/K4,0)</f>
        <v>#REF!</v>
      </c>
      <c r="L192" s="207" t="e">
        <f>IF(#REF!&gt;0,L191/L4,0)</f>
        <v>#REF!</v>
      </c>
      <c r="M192" s="290" t="e">
        <f>IF(#REF!&gt;0,M191/M4,0)</f>
        <v>#REF!</v>
      </c>
      <c r="N192" s="207" t="e">
        <f>IF(#REF!&gt;0,N191/N4,0)</f>
        <v>#REF!</v>
      </c>
      <c r="O192" s="207" t="e">
        <f>IF(#REF!&gt;0,O191/O4,0)</f>
        <v>#REF!</v>
      </c>
      <c r="P192" s="290" t="e">
        <f>IF(#REF!&gt;0,P191/P4,0)</f>
        <v>#REF!</v>
      </c>
      <c r="Q192" s="207" t="e">
        <f>IF(#REF!&gt;0,Q191/Q4,0)</f>
        <v>#REF!</v>
      </c>
      <c r="R192" s="290" t="e">
        <f>IF(#REF!&gt;0,R191/R4,0)</f>
        <v>#REF!</v>
      </c>
      <c r="S192" s="207" t="e">
        <f>IF(#REF!&gt;0,S191/S4,0)</f>
        <v>#REF!</v>
      </c>
      <c r="T192" s="290" t="e">
        <f>IF(#REF!&gt;0,T191/T4,0)</f>
        <v>#REF!</v>
      </c>
      <c r="U192" s="207" t="e">
        <f>IF(#REF!&gt;0,U191/U4,0)</f>
        <v>#REF!</v>
      </c>
      <c r="V192" s="207" t="e">
        <f>IF(#REF!&gt;0,V191/V4,0)</f>
        <v>#REF!</v>
      </c>
      <c r="W192" s="290" t="e">
        <f>IF(#REF!&gt;0,W191/W4,0)</f>
        <v>#REF!</v>
      </c>
      <c r="X192" s="207" t="e">
        <f>IF(#REF!&gt;0,X191/X4,0)</f>
        <v>#REF!</v>
      </c>
      <c r="Y192" s="290" t="e">
        <f>IF(#REF!&gt;0,Y191/Y4,0)</f>
        <v>#REF!</v>
      </c>
      <c r="Z192" s="207" t="e">
        <f>IF(#REF!&gt;0,Z191/Z4,0)</f>
        <v>#REF!</v>
      </c>
      <c r="AA192" s="290" t="e">
        <f>IF(#REF!&gt;0,AA191/AA4,0)</f>
        <v>#REF!</v>
      </c>
      <c r="AB192" s="207" t="e">
        <f>IF(#REF!&gt;0,AB191/AB4,0)</f>
        <v>#REF!</v>
      </c>
      <c r="AC192" s="207" t="e">
        <f>IF(#REF!&gt;0,AC191/AC4,0)</f>
        <v>#REF!</v>
      </c>
      <c r="AD192" s="286" t="e">
        <f>IF(#REF!&gt;0,AD191/AD4,0)</f>
        <v>#REF!</v>
      </c>
      <c r="AE192" s="207"/>
    </row>
    <row r="193" spans="1:31" s="43" customFormat="1" ht="30.75" customHeight="1">
      <c r="A193" s="195" t="s">
        <v>157</v>
      </c>
      <c r="B193" s="348"/>
      <c r="C193" s="196">
        <f>C177-C191</f>
        <v>144831.02857142856</v>
      </c>
      <c r="D193" s="314"/>
      <c r="E193" s="196" t="e">
        <f>E177-E191</f>
        <v>#REF!</v>
      </c>
      <c r="F193" s="314"/>
      <c r="G193" s="196" t="e">
        <f>G177-G191</f>
        <v>#REF!</v>
      </c>
      <c r="H193" s="266" t="e">
        <f>H177-H191</f>
        <v>#REF!</v>
      </c>
      <c r="I193" s="314"/>
      <c r="J193" s="196" t="e">
        <f>J177-J191</f>
        <v>#REF!</v>
      </c>
      <c r="K193" s="314"/>
      <c r="L193" s="196" t="e">
        <f>L177-L191</f>
        <v>#REF!</v>
      </c>
      <c r="M193" s="314"/>
      <c r="N193" s="196" t="e">
        <f>N177-N191</f>
        <v>#REF!</v>
      </c>
      <c r="O193" s="266" t="e">
        <f>O177-O191</f>
        <v>#REF!</v>
      </c>
      <c r="P193" s="314"/>
      <c r="Q193" s="196" t="e">
        <f>Q177-Q191</f>
        <v>#REF!</v>
      </c>
      <c r="R193" s="314"/>
      <c r="S193" s="196" t="e">
        <f>S177-S191</f>
        <v>#REF!</v>
      </c>
      <c r="T193" s="314"/>
      <c r="U193" s="196" t="e">
        <f>U177-U191</f>
        <v>#REF!</v>
      </c>
      <c r="V193" s="266" t="e">
        <f>V177-V191</f>
        <v>#REF!</v>
      </c>
      <c r="W193" s="314"/>
      <c r="X193" s="196">
        <f>X177-X191</f>
        <v>0</v>
      </c>
      <c r="Y193" s="314"/>
      <c r="Z193" s="196">
        <f>Z177-Z191</f>
        <v>0</v>
      </c>
      <c r="AA193" s="314"/>
      <c r="AB193" s="196">
        <f>AB177-AB191</f>
        <v>0</v>
      </c>
      <c r="AC193" s="266">
        <f>AC177-AC191</f>
        <v>0</v>
      </c>
      <c r="AD193" s="197" t="e">
        <f>AC193+V193+O193+H193</f>
        <v>#REF!</v>
      </c>
      <c r="AE193" s="266" t="e">
        <f>AC193+V193+O193+H193</f>
        <v>#REF!</v>
      </c>
    </row>
    <row r="194" spans="1:31" s="227" customFormat="1" ht="12.75" customHeight="1">
      <c r="A194" s="228" t="s">
        <v>689</v>
      </c>
      <c r="B194" s="323"/>
      <c r="C194" s="207">
        <f>C193/C4</f>
        <v>0.09693691988114958</v>
      </c>
      <c r="D194" s="290"/>
      <c r="E194" s="207" t="e">
        <f>E193/E4</f>
        <v>#REF!</v>
      </c>
      <c r="F194" s="290"/>
      <c r="G194" s="207" t="e">
        <f>G193/G4</f>
        <v>#REF!</v>
      </c>
      <c r="H194" s="207" t="e">
        <f>H193/H4</f>
        <v>#REF!</v>
      </c>
      <c r="I194" s="290"/>
      <c r="J194" s="207" t="e">
        <f>J193/J4</f>
        <v>#REF!</v>
      </c>
      <c r="K194" s="290"/>
      <c r="L194" s="207" t="e">
        <f>L193/L4</f>
        <v>#REF!</v>
      </c>
      <c r="M194" s="290"/>
      <c r="N194" s="207" t="e">
        <f>N193/N4</f>
        <v>#REF!</v>
      </c>
      <c r="O194" s="207" t="e">
        <f>O193/O4</f>
        <v>#REF!</v>
      </c>
      <c r="P194" s="290"/>
      <c r="Q194" s="207" t="e">
        <f>Q193/Q4</f>
        <v>#REF!</v>
      </c>
      <c r="R194" s="290"/>
      <c r="S194" s="207" t="e">
        <f>S193/S4</f>
        <v>#REF!</v>
      </c>
      <c r="T194" s="290"/>
      <c r="U194" s="207" t="e">
        <f>U193/U4</f>
        <v>#REF!</v>
      </c>
      <c r="V194" s="207" t="e">
        <f>V193/V4</f>
        <v>#REF!</v>
      </c>
      <c r="W194" s="290"/>
      <c r="X194" s="207"/>
      <c r="Y194" s="290"/>
      <c r="Z194" s="207"/>
      <c r="AA194" s="290"/>
      <c r="AB194" s="207"/>
      <c r="AC194" s="207"/>
      <c r="AD194" s="286"/>
      <c r="AE194" s="207"/>
    </row>
    <row r="195" spans="1:31" s="203" customFormat="1" ht="18" customHeight="1">
      <c r="A195" s="201" t="s">
        <v>33</v>
      </c>
      <c r="B195" s="315">
        <f>B217+B198</f>
        <v>0</v>
      </c>
      <c r="C195" s="203">
        <f>C217+C198</f>
        <v>206425</v>
      </c>
      <c r="D195" s="315">
        <f aca="true" t="shared" si="64" ref="D195:AE195">D217+D198</f>
        <v>0</v>
      </c>
      <c r="E195" s="203">
        <f t="shared" si="64"/>
        <v>318251</v>
      </c>
      <c r="F195" s="315">
        <f t="shared" si="64"/>
        <v>0</v>
      </c>
      <c r="G195" s="203">
        <f t="shared" si="64"/>
        <v>832630</v>
      </c>
      <c r="H195" s="255">
        <f t="shared" si="64"/>
        <v>1291156</v>
      </c>
      <c r="I195" s="315">
        <f t="shared" si="64"/>
        <v>0</v>
      </c>
      <c r="J195" s="203">
        <f t="shared" si="64"/>
        <v>0</v>
      </c>
      <c r="K195" s="315">
        <f t="shared" si="64"/>
        <v>0</v>
      </c>
      <c r="L195" s="203">
        <f t="shared" si="64"/>
        <v>0</v>
      </c>
      <c r="M195" s="315">
        <f t="shared" si="64"/>
        <v>0</v>
      </c>
      <c r="N195" s="203">
        <f t="shared" si="64"/>
        <v>0</v>
      </c>
      <c r="O195" s="255">
        <f t="shared" si="64"/>
        <v>0</v>
      </c>
      <c r="P195" s="315">
        <f t="shared" si="64"/>
        <v>0</v>
      </c>
      <c r="Q195" s="203">
        <f t="shared" si="64"/>
        <v>0</v>
      </c>
      <c r="R195" s="315">
        <f t="shared" si="64"/>
        <v>0</v>
      </c>
      <c r="S195" s="203">
        <f t="shared" si="64"/>
        <v>0</v>
      </c>
      <c r="T195" s="315">
        <f t="shared" si="64"/>
        <v>0</v>
      </c>
      <c r="U195" s="203">
        <f t="shared" si="64"/>
        <v>0</v>
      </c>
      <c r="V195" s="255">
        <f t="shared" si="64"/>
        <v>0</v>
      </c>
      <c r="W195" s="315">
        <f t="shared" si="64"/>
        <v>0</v>
      </c>
      <c r="X195" s="203">
        <f t="shared" si="64"/>
        <v>0</v>
      </c>
      <c r="Y195" s="315">
        <f t="shared" si="64"/>
        <v>0</v>
      </c>
      <c r="Z195" s="203">
        <f t="shared" si="64"/>
        <v>0</v>
      </c>
      <c r="AA195" s="315">
        <f t="shared" si="64"/>
        <v>0</v>
      </c>
      <c r="AB195" s="203">
        <f t="shared" si="64"/>
        <v>0</v>
      </c>
      <c r="AC195" s="255">
        <f t="shared" si="64"/>
        <v>0</v>
      </c>
      <c r="AD195" s="202">
        <f t="shared" si="64"/>
        <v>0</v>
      </c>
      <c r="AE195" s="255">
        <f t="shared" si="64"/>
        <v>0</v>
      </c>
    </row>
    <row r="196" spans="1:31" s="227" customFormat="1" ht="12.75" customHeight="1">
      <c r="A196" s="228" t="s">
        <v>12</v>
      </c>
      <c r="B196" s="323">
        <f>IF(B4&gt;0,B195/B4,0)</f>
        <v>0</v>
      </c>
      <c r="C196" s="207" t="s">
        <v>715</v>
      </c>
      <c r="D196" s="290">
        <f aca="true" t="shared" si="65" ref="D196:AD196">IF(D4&gt;0,D195/D4,0)</f>
        <v>0</v>
      </c>
      <c r="E196" s="207">
        <f t="shared" si="65"/>
        <v>0</v>
      </c>
      <c r="F196" s="290">
        <f t="shared" si="65"/>
        <v>0</v>
      </c>
      <c r="G196" s="207">
        <f t="shared" si="65"/>
        <v>0</v>
      </c>
      <c r="H196" s="207">
        <f t="shared" si="65"/>
        <v>0</v>
      </c>
      <c r="I196" s="290">
        <f t="shared" si="65"/>
        <v>0</v>
      </c>
      <c r="J196" s="207">
        <f t="shared" si="65"/>
        <v>0</v>
      </c>
      <c r="K196" s="290">
        <f t="shared" si="65"/>
        <v>0</v>
      </c>
      <c r="L196" s="207">
        <f t="shared" si="65"/>
        <v>0</v>
      </c>
      <c r="M196" s="290">
        <f t="shared" si="65"/>
        <v>0</v>
      </c>
      <c r="N196" s="207">
        <f t="shared" si="65"/>
        <v>0</v>
      </c>
      <c r="O196" s="207">
        <f t="shared" si="65"/>
        <v>0</v>
      </c>
      <c r="P196" s="290">
        <f t="shared" si="65"/>
        <v>0</v>
      </c>
      <c r="Q196" s="207">
        <f t="shared" si="65"/>
        <v>0</v>
      </c>
      <c r="R196" s="290">
        <f t="shared" si="65"/>
        <v>0</v>
      </c>
      <c r="S196" s="207">
        <f t="shared" si="65"/>
        <v>0</v>
      </c>
      <c r="T196" s="290">
        <f t="shared" si="65"/>
        <v>0</v>
      </c>
      <c r="U196" s="207">
        <f t="shared" si="65"/>
        <v>0</v>
      </c>
      <c r="V196" s="207">
        <f t="shared" si="65"/>
        <v>0</v>
      </c>
      <c r="W196" s="290">
        <f t="shared" si="65"/>
        <v>0</v>
      </c>
      <c r="X196" s="207">
        <f t="shared" si="65"/>
        <v>0</v>
      </c>
      <c r="Y196" s="290">
        <f t="shared" si="65"/>
        <v>0</v>
      </c>
      <c r="Z196" s="207">
        <f t="shared" si="65"/>
        <v>0</v>
      </c>
      <c r="AA196" s="290">
        <f t="shared" si="65"/>
        <v>0</v>
      </c>
      <c r="AB196" s="207">
        <f t="shared" si="65"/>
        <v>0</v>
      </c>
      <c r="AC196" s="207">
        <f t="shared" si="65"/>
        <v>0</v>
      </c>
      <c r="AD196" s="286">
        <f t="shared" si="65"/>
        <v>0</v>
      </c>
      <c r="AE196" s="207"/>
    </row>
    <row r="197" spans="1:31" s="99" customFormat="1" ht="11.25" customHeight="1">
      <c r="A197" s="96" t="s">
        <v>41</v>
      </c>
      <c r="B197" s="323">
        <v>0.8</v>
      </c>
      <c r="C197" s="207">
        <v>0.8</v>
      </c>
      <c r="D197" s="290">
        <v>0.8</v>
      </c>
      <c r="E197" s="207">
        <v>0.8</v>
      </c>
      <c r="F197" s="290">
        <v>0.8</v>
      </c>
      <c r="G197" s="97">
        <v>0.8</v>
      </c>
      <c r="H197" s="97">
        <v>0.8</v>
      </c>
      <c r="I197" s="290">
        <v>0.8</v>
      </c>
      <c r="J197" s="97">
        <v>0.8</v>
      </c>
      <c r="K197" s="290">
        <v>0.8</v>
      </c>
      <c r="L197" s="97">
        <v>0.8</v>
      </c>
      <c r="M197" s="290">
        <v>0.8</v>
      </c>
      <c r="N197" s="97">
        <v>0.8</v>
      </c>
      <c r="O197" s="97">
        <v>0.8</v>
      </c>
      <c r="P197" s="290">
        <v>0.8</v>
      </c>
      <c r="Q197" s="97">
        <v>0.8</v>
      </c>
      <c r="R197" s="290">
        <v>0.8</v>
      </c>
      <c r="S197" s="97">
        <v>0.8</v>
      </c>
      <c r="T197" s="290">
        <v>0.8</v>
      </c>
      <c r="U197" s="97">
        <v>0.8</v>
      </c>
      <c r="V197" s="97">
        <v>0.8</v>
      </c>
      <c r="W197" s="290">
        <v>0.8</v>
      </c>
      <c r="X197" s="97">
        <v>0.8</v>
      </c>
      <c r="Y197" s="290">
        <v>0.8</v>
      </c>
      <c r="Z197" s="97">
        <v>0.8</v>
      </c>
      <c r="AA197" s="290">
        <v>0.8</v>
      </c>
      <c r="AB197" s="97">
        <v>0.8</v>
      </c>
      <c r="AC197" s="97">
        <v>0.8</v>
      </c>
      <c r="AD197" s="98"/>
      <c r="AE197" s="97"/>
    </row>
    <row r="198" spans="1:31" s="185" customFormat="1" ht="14.25" customHeight="1" outlineLevel="1">
      <c r="A198" s="198" t="s">
        <v>126</v>
      </c>
      <c r="B198" s="349">
        <f aca="true" t="shared" si="66" ref="B198:T198">SUM(B199:B216)</f>
        <v>0</v>
      </c>
      <c r="C198" s="199">
        <f t="shared" si="66"/>
        <v>0</v>
      </c>
      <c r="D198" s="316">
        <f t="shared" si="66"/>
        <v>0</v>
      </c>
      <c r="E198" s="199">
        <f t="shared" si="66"/>
        <v>0</v>
      </c>
      <c r="F198" s="316">
        <f t="shared" si="66"/>
        <v>0</v>
      </c>
      <c r="G198" s="199">
        <f t="shared" si="66"/>
        <v>760080</v>
      </c>
      <c r="H198" s="256">
        <f t="shared" si="66"/>
        <v>760080</v>
      </c>
      <c r="I198" s="316">
        <f t="shared" si="66"/>
        <v>0</v>
      </c>
      <c r="J198" s="199">
        <f t="shared" si="66"/>
        <v>0</v>
      </c>
      <c r="K198" s="316">
        <f t="shared" si="66"/>
        <v>0</v>
      </c>
      <c r="L198" s="199">
        <f t="shared" si="66"/>
        <v>0</v>
      </c>
      <c r="M198" s="316">
        <f t="shared" si="66"/>
        <v>0</v>
      </c>
      <c r="N198" s="199">
        <f t="shared" si="66"/>
        <v>0</v>
      </c>
      <c r="O198" s="256">
        <f t="shared" si="66"/>
        <v>0</v>
      </c>
      <c r="P198" s="316">
        <f t="shared" si="66"/>
        <v>0</v>
      </c>
      <c r="Q198" s="199">
        <f t="shared" si="66"/>
        <v>0</v>
      </c>
      <c r="R198" s="316">
        <f t="shared" si="66"/>
        <v>0</v>
      </c>
      <c r="S198" s="199">
        <f t="shared" si="66"/>
        <v>0</v>
      </c>
      <c r="T198" s="316">
        <f t="shared" si="66"/>
        <v>0</v>
      </c>
      <c r="U198" s="199">
        <f>SUM(U199:U216)</f>
        <v>0</v>
      </c>
      <c r="V198" s="256">
        <f aca="true" t="shared" si="67" ref="V198:AC198">SUM(V199:V216)</f>
        <v>0</v>
      </c>
      <c r="W198" s="316">
        <f t="shared" si="67"/>
        <v>0</v>
      </c>
      <c r="X198" s="199">
        <f t="shared" si="67"/>
        <v>0</v>
      </c>
      <c r="Y198" s="316">
        <f t="shared" si="67"/>
        <v>0</v>
      </c>
      <c r="Z198" s="199">
        <f t="shared" si="67"/>
        <v>0</v>
      </c>
      <c r="AA198" s="316">
        <f t="shared" si="67"/>
        <v>0</v>
      </c>
      <c r="AB198" s="199">
        <f t="shared" si="67"/>
        <v>0</v>
      </c>
      <c r="AC198" s="256">
        <f t="shared" si="67"/>
        <v>0</v>
      </c>
      <c r="AD198" s="200">
        <f>SUM(AD204:AD216)</f>
        <v>0</v>
      </c>
      <c r="AE198" s="256"/>
    </row>
    <row r="199" spans="1:31" s="54" customFormat="1" ht="14.25" customHeight="1" outlineLevel="1">
      <c r="A199" s="65" t="s">
        <v>64</v>
      </c>
      <c r="B199" s="324"/>
      <c r="C199" s="15"/>
      <c r="D199" s="291"/>
      <c r="E199" s="15"/>
      <c r="F199" s="291"/>
      <c r="G199" s="15"/>
      <c r="H199" s="235">
        <f>C199+E199+G199</f>
        <v>0</v>
      </c>
      <c r="I199" s="291"/>
      <c r="J199" s="15"/>
      <c r="K199" s="291"/>
      <c r="L199" s="15"/>
      <c r="M199" s="291"/>
      <c r="N199" s="15"/>
      <c r="O199" s="235"/>
      <c r="P199" s="291"/>
      <c r="Q199" s="15"/>
      <c r="R199" s="291"/>
      <c r="S199" s="15"/>
      <c r="T199" s="291"/>
      <c r="U199" s="15"/>
      <c r="V199" s="235">
        <f aca="true" t="shared" si="68" ref="V199:V216">Q199+S199+U199</f>
        <v>0</v>
      </c>
      <c r="W199" s="291"/>
      <c r="X199" s="15"/>
      <c r="Y199" s="291"/>
      <c r="Z199" s="15"/>
      <c r="AA199" s="291"/>
      <c r="AB199" s="15"/>
      <c r="AC199" s="235">
        <f>X199+Z199+AB199</f>
        <v>0</v>
      </c>
      <c r="AD199" s="12"/>
      <c r="AE199" s="235"/>
    </row>
    <row r="200" spans="1:31" s="54" customFormat="1" ht="14.25" customHeight="1" outlineLevel="1">
      <c r="A200" s="65" t="s">
        <v>119</v>
      </c>
      <c r="B200" s="324"/>
      <c r="C200" s="15"/>
      <c r="D200" s="291"/>
      <c r="E200" s="15"/>
      <c r="F200" s="291"/>
      <c r="G200" s="15"/>
      <c r="H200" s="235">
        <f>C200+E200+G200</f>
        <v>0</v>
      </c>
      <c r="I200" s="291"/>
      <c r="J200" s="113"/>
      <c r="K200" s="291"/>
      <c r="L200" s="15"/>
      <c r="M200" s="291"/>
      <c r="N200" s="15"/>
      <c r="O200" s="235"/>
      <c r="P200" s="291"/>
      <c r="Q200" s="15"/>
      <c r="R200" s="291"/>
      <c r="S200" s="15"/>
      <c r="T200" s="291"/>
      <c r="U200" s="113"/>
      <c r="V200" s="235">
        <f t="shared" si="68"/>
        <v>0</v>
      </c>
      <c r="W200" s="291"/>
      <c r="X200" s="113"/>
      <c r="Y200" s="291"/>
      <c r="Z200" s="15"/>
      <c r="AA200" s="291"/>
      <c r="AB200" s="113"/>
      <c r="AC200" s="235">
        <f>X200+Z200+AB200</f>
        <v>0</v>
      </c>
      <c r="AD200" s="12"/>
      <c r="AE200" s="235"/>
    </row>
    <row r="201" spans="1:31" s="54" customFormat="1" ht="14.25" customHeight="1" outlineLevel="1">
      <c r="A201" s="65" t="s">
        <v>563</v>
      </c>
      <c r="B201" s="324"/>
      <c r="C201" s="15"/>
      <c r="D201" s="291"/>
      <c r="E201" s="15"/>
      <c r="F201" s="291"/>
      <c r="G201" s="15">
        <f>85000+100000</f>
        <v>185000</v>
      </c>
      <c r="H201" s="235">
        <f>C201+E201+G201</f>
        <v>185000</v>
      </c>
      <c r="I201" s="291"/>
      <c r="J201" s="15"/>
      <c r="K201" s="291"/>
      <c r="L201" s="15"/>
      <c r="M201" s="291"/>
      <c r="N201" s="15"/>
      <c r="O201" s="235"/>
      <c r="P201" s="291"/>
      <c r="Q201" s="15"/>
      <c r="R201" s="291"/>
      <c r="S201" s="15"/>
      <c r="T201" s="291"/>
      <c r="U201" s="15"/>
      <c r="V201" s="235">
        <f t="shared" si="68"/>
        <v>0</v>
      </c>
      <c r="W201" s="291"/>
      <c r="X201" s="15"/>
      <c r="Y201" s="291"/>
      <c r="Z201" s="15"/>
      <c r="AA201" s="291"/>
      <c r="AB201" s="15"/>
      <c r="AC201" s="235"/>
      <c r="AD201" s="12"/>
      <c r="AE201" s="235"/>
    </row>
    <row r="202" spans="1:31" s="54" customFormat="1" ht="14.25" customHeight="1" outlineLevel="1">
      <c r="A202" s="65" t="s">
        <v>71</v>
      </c>
      <c r="B202" s="324"/>
      <c r="C202" s="15"/>
      <c r="D202" s="291"/>
      <c r="E202" s="15"/>
      <c r="F202" s="291"/>
      <c r="G202" s="15">
        <f>11280+36000</f>
        <v>47280</v>
      </c>
      <c r="H202" s="235">
        <f>C202+E202+G202</f>
        <v>47280</v>
      </c>
      <c r="I202" s="291"/>
      <c r="J202" s="113"/>
      <c r="K202" s="291"/>
      <c r="L202" s="113"/>
      <c r="M202" s="291"/>
      <c r="N202" s="15"/>
      <c r="O202" s="235"/>
      <c r="P202" s="291"/>
      <c r="Q202" s="15"/>
      <c r="R202" s="291"/>
      <c r="S202" s="15"/>
      <c r="T202" s="291"/>
      <c r="U202" s="113"/>
      <c r="V202" s="235">
        <f t="shared" si="68"/>
        <v>0</v>
      </c>
      <c r="W202" s="291"/>
      <c r="X202" s="15"/>
      <c r="Y202" s="291"/>
      <c r="Z202" s="15"/>
      <c r="AA202" s="291"/>
      <c r="AB202" s="113"/>
      <c r="AC202" s="235">
        <f>X202+Z202+AB202</f>
        <v>0</v>
      </c>
      <c r="AD202" s="12"/>
      <c r="AE202" s="235"/>
    </row>
    <row r="203" spans="1:31" s="54" customFormat="1" ht="14.25" customHeight="1" outlineLevel="1">
      <c r="A203" s="65" t="s">
        <v>647</v>
      </c>
      <c r="B203" s="324"/>
      <c r="C203" s="15"/>
      <c r="D203" s="291"/>
      <c r="E203" s="15"/>
      <c r="F203" s="291"/>
      <c r="G203" s="15"/>
      <c r="H203" s="235"/>
      <c r="I203" s="291"/>
      <c r="J203" s="15"/>
      <c r="K203" s="291"/>
      <c r="L203" s="15"/>
      <c r="M203" s="291"/>
      <c r="N203" s="15"/>
      <c r="O203" s="235"/>
      <c r="P203" s="291"/>
      <c r="Q203" s="15"/>
      <c r="R203" s="291"/>
      <c r="S203" s="15"/>
      <c r="T203" s="291"/>
      <c r="U203" s="113"/>
      <c r="V203" s="235">
        <f t="shared" si="68"/>
        <v>0</v>
      </c>
      <c r="W203" s="291"/>
      <c r="X203" s="15"/>
      <c r="Y203" s="291"/>
      <c r="Z203" s="113"/>
      <c r="AA203" s="291"/>
      <c r="AB203" s="113"/>
      <c r="AC203" s="235"/>
      <c r="AD203" s="12"/>
      <c r="AE203" s="235"/>
    </row>
    <row r="204" spans="1:31" s="54" customFormat="1" ht="14.25" customHeight="1" outlineLevel="1">
      <c r="A204" s="65" t="s">
        <v>527</v>
      </c>
      <c r="B204" s="324"/>
      <c r="C204" s="15"/>
      <c r="D204" s="291"/>
      <c r="E204" s="15"/>
      <c r="F204" s="291"/>
      <c r="G204" s="15"/>
      <c r="H204" s="235"/>
      <c r="I204" s="291"/>
      <c r="J204" s="15"/>
      <c r="K204" s="291"/>
      <c r="L204" s="15"/>
      <c r="M204" s="291"/>
      <c r="N204" s="15"/>
      <c r="O204" s="235"/>
      <c r="P204" s="291"/>
      <c r="Q204" s="536"/>
      <c r="R204" s="291"/>
      <c r="S204" s="15"/>
      <c r="T204" s="291"/>
      <c r="U204" s="113"/>
      <c r="V204" s="235">
        <f t="shared" si="68"/>
        <v>0</v>
      </c>
      <c r="W204" s="291"/>
      <c r="X204" s="15"/>
      <c r="Y204" s="291"/>
      <c r="Z204" s="113"/>
      <c r="AA204" s="291"/>
      <c r="AB204" s="113"/>
      <c r="AC204" s="235"/>
      <c r="AD204" s="12"/>
      <c r="AE204" s="235"/>
    </row>
    <row r="205" spans="1:31" s="54" customFormat="1" ht="14.25" customHeight="1" outlineLevel="1">
      <c r="A205" s="65" t="s">
        <v>154</v>
      </c>
      <c r="B205" s="324"/>
      <c r="C205" s="15"/>
      <c r="D205" s="291"/>
      <c r="E205" s="15"/>
      <c r="F205" s="291"/>
      <c r="G205" s="15"/>
      <c r="H205" s="235">
        <f>C205+E205+G205</f>
        <v>0</v>
      </c>
      <c r="I205" s="291"/>
      <c r="J205" s="113"/>
      <c r="K205" s="291"/>
      <c r="L205" s="15"/>
      <c r="M205" s="291"/>
      <c r="N205" s="15"/>
      <c r="O205" s="235"/>
      <c r="P205" s="291"/>
      <c r="Q205" s="15"/>
      <c r="R205" s="291"/>
      <c r="S205" s="15"/>
      <c r="T205" s="291"/>
      <c r="U205" s="15"/>
      <c r="V205" s="235">
        <f t="shared" si="68"/>
        <v>0</v>
      </c>
      <c r="W205" s="291"/>
      <c r="X205" s="15"/>
      <c r="Y205" s="291"/>
      <c r="Z205" s="15"/>
      <c r="AA205" s="291"/>
      <c r="AB205" s="15"/>
      <c r="AC205" s="235">
        <f>X205+Z205+AB205</f>
        <v>0</v>
      </c>
      <c r="AD205" s="12"/>
      <c r="AE205" s="235"/>
    </row>
    <row r="206" spans="1:31" s="54" customFormat="1" ht="14.25" customHeight="1" outlineLevel="1">
      <c r="A206" s="65" t="s">
        <v>649</v>
      </c>
      <c r="B206" s="324"/>
      <c r="C206" s="15"/>
      <c r="D206" s="291"/>
      <c r="E206" s="15"/>
      <c r="F206" s="291"/>
      <c r="G206" s="15"/>
      <c r="H206" s="235"/>
      <c r="I206" s="291"/>
      <c r="J206" s="15"/>
      <c r="K206" s="291"/>
      <c r="L206" s="15"/>
      <c r="M206" s="291"/>
      <c r="N206" s="15"/>
      <c r="O206" s="235"/>
      <c r="P206" s="291"/>
      <c r="Q206" s="536"/>
      <c r="R206" s="291"/>
      <c r="S206" s="15"/>
      <c r="T206" s="291"/>
      <c r="U206" s="113"/>
      <c r="V206" s="235">
        <f t="shared" si="68"/>
        <v>0</v>
      </c>
      <c r="W206" s="291"/>
      <c r="X206" s="15"/>
      <c r="Y206" s="291"/>
      <c r="Z206" s="113"/>
      <c r="AA206" s="291"/>
      <c r="AB206" s="113"/>
      <c r="AC206" s="235"/>
      <c r="AD206" s="12"/>
      <c r="AE206" s="235"/>
    </row>
    <row r="207" spans="1:31" s="54" customFormat="1" ht="14.25" customHeight="1" outlineLevel="1">
      <c r="A207" s="65" t="s">
        <v>97</v>
      </c>
      <c r="B207" s="324"/>
      <c r="C207" s="15"/>
      <c r="D207" s="291"/>
      <c r="E207" s="15"/>
      <c r="F207" s="291"/>
      <c r="G207" s="15"/>
      <c r="H207" s="235">
        <f>C207+E207+G207</f>
        <v>0</v>
      </c>
      <c r="I207" s="291"/>
      <c r="J207" s="15"/>
      <c r="K207" s="291"/>
      <c r="L207" s="15"/>
      <c r="M207" s="291"/>
      <c r="N207" s="15"/>
      <c r="O207" s="235"/>
      <c r="P207" s="291"/>
      <c r="Q207" s="15"/>
      <c r="R207" s="291"/>
      <c r="S207" s="15"/>
      <c r="T207" s="291"/>
      <c r="U207" s="113"/>
      <c r="V207" s="235">
        <f t="shared" si="68"/>
        <v>0</v>
      </c>
      <c r="W207" s="291"/>
      <c r="X207" s="113"/>
      <c r="Y207" s="291"/>
      <c r="Z207" s="15"/>
      <c r="AA207" s="291"/>
      <c r="AB207" s="113"/>
      <c r="AC207" s="235">
        <f>X207+Z207+AB207</f>
        <v>0</v>
      </c>
      <c r="AD207" s="12"/>
      <c r="AE207" s="235"/>
    </row>
    <row r="208" spans="1:31" s="54" customFormat="1" ht="14.25" customHeight="1" outlineLevel="1">
      <c r="A208" s="65" t="s">
        <v>125</v>
      </c>
      <c r="B208" s="324"/>
      <c r="C208" s="15"/>
      <c r="D208" s="291"/>
      <c r="E208" s="15"/>
      <c r="F208" s="291"/>
      <c r="G208" s="15"/>
      <c r="H208" s="235">
        <f>C208+E208+G208</f>
        <v>0</v>
      </c>
      <c r="I208" s="291"/>
      <c r="J208" s="15"/>
      <c r="K208" s="291"/>
      <c r="L208" s="15"/>
      <c r="M208" s="291"/>
      <c r="N208" s="15"/>
      <c r="O208" s="235"/>
      <c r="P208" s="291"/>
      <c r="Q208" s="15"/>
      <c r="R208" s="291"/>
      <c r="S208" s="15"/>
      <c r="T208" s="291"/>
      <c r="U208" s="15"/>
      <c r="V208" s="235">
        <f t="shared" si="68"/>
        <v>0</v>
      </c>
      <c r="W208" s="291"/>
      <c r="X208" s="15"/>
      <c r="Y208" s="291"/>
      <c r="Z208" s="15"/>
      <c r="AA208" s="291"/>
      <c r="AB208" s="15"/>
      <c r="AC208" s="235">
        <f>X208+Z208+AB208</f>
        <v>0</v>
      </c>
      <c r="AD208" s="12"/>
      <c r="AE208" s="235"/>
    </row>
    <row r="209" spans="1:31" s="54" customFormat="1" ht="14.25" customHeight="1" outlineLevel="1">
      <c r="A209" s="65" t="s">
        <v>632</v>
      </c>
      <c r="B209" s="324"/>
      <c r="C209" s="15"/>
      <c r="D209" s="291"/>
      <c r="E209" s="15"/>
      <c r="F209" s="291"/>
      <c r="G209" s="15"/>
      <c r="H209" s="235"/>
      <c r="I209" s="291"/>
      <c r="J209" s="15"/>
      <c r="K209" s="291"/>
      <c r="L209" s="15"/>
      <c r="M209" s="291"/>
      <c r="N209" s="15"/>
      <c r="O209" s="235"/>
      <c r="P209" s="291"/>
      <c r="Q209" s="15"/>
      <c r="R209" s="291"/>
      <c r="S209" s="15"/>
      <c r="T209" s="291"/>
      <c r="U209" s="15"/>
      <c r="V209" s="235">
        <f t="shared" si="68"/>
        <v>0</v>
      </c>
      <c r="W209" s="291"/>
      <c r="X209" s="15"/>
      <c r="Y209" s="291"/>
      <c r="Z209" s="15"/>
      <c r="AA209" s="291"/>
      <c r="AB209" s="15"/>
      <c r="AC209" s="235"/>
      <c r="AD209" s="12"/>
      <c r="AE209" s="235"/>
    </row>
    <row r="210" spans="1:31" s="54" customFormat="1" ht="14.25" customHeight="1" outlineLevel="1">
      <c r="A210" s="65" t="s">
        <v>564</v>
      </c>
      <c r="B210" s="324"/>
      <c r="C210" s="15"/>
      <c r="D210" s="291"/>
      <c r="E210" s="15"/>
      <c r="F210" s="291"/>
      <c r="G210" s="15">
        <f>466200+22200</f>
        <v>488400</v>
      </c>
      <c r="H210" s="235">
        <f>C210+E210+G210</f>
        <v>488400</v>
      </c>
      <c r="I210" s="291"/>
      <c r="J210" s="15"/>
      <c r="K210" s="291"/>
      <c r="L210" s="15"/>
      <c r="M210" s="291"/>
      <c r="N210" s="15"/>
      <c r="O210" s="235"/>
      <c r="P210" s="291"/>
      <c r="Q210" s="15"/>
      <c r="R210" s="291"/>
      <c r="S210" s="15"/>
      <c r="T210" s="291"/>
      <c r="U210" s="15"/>
      <c r="V210" s="235">
        <f t="shared" si="68"/>
        <v>0</v>
      </c>
      <c r="W210" s="291"/>
      <c r="X210" s="15"/>
      <c r="Y210" s="291"/>
      <c r="Z210" s="15"/>
      <c r="AA210" s="291"/>
      <c r="AB210" s="15"/>
      <c r="AC210" s="235"/>
      <c r="AD210" s="12"/>
      <c r="AE210" s="235"/>
    </row>
    <row r="211" spans="1:31" s="54" customFormat="1" ht="14.25" customHeight="1" outlineLevel="1">
      <c r="A211" s="65" t="s">
        <v>186</v>
      </c>
      <c r="B211" s="324"/>
      <c r="C211" s="15"/>
      <c r="D211" s="291"/>
      <c r="E211" s="15"/>
      <c r="F211" s="291"/>
      <c r="G211" s="15">
        <f>23400</f>
        <v>23400</v>
      </c>
      <c r="H211" s="235">
        <f>C211+E211+G211</f>
        <v>23400</v>
      </c>
      <c r="I211" s="291"/>
      <c r="J211" s="15"/>
      <c r="K211" s="291"/>
      <c r="L211" s="15"/>
      <c r="M211" s="291"/>
      <c r="N211" s="15"/>
      <c r="O211" s="235"/>
      <c r="P211" s="291"/>
      <c r="Q211" s="15"/>
      <c r="R211" s="291"/>
      <c r="S211" s="15"/>
      <c r="T211" s="291"/>
      <c r="U211" s="113"/>
      <c r="V211" s="235">
        <f t="shared" si="68"/>
        <v>0</v>
      </c>
      <c r="W211" s="291"/>
      <c r="X211" s="113"/>
      <c r="Y211" s="291"/>
      <c r="Z211" s="15"/>
      <c r="AA211" s="291"/>
      <c r="AB211" s="113"/>
      <c r="AC211" s="235">
        <f>X211+Z211+AB211</f>
        <v>0</v>
      </c>
      <c r="AD211" s="12"/>
      <c r="AE211" s="235"/>
    </row>
    <row r="212" spans="1:31" s="54" customFormat="1" ht="14.25" customHeight="1" outlineLevel="1">
      <c r="A212" s="65" t="s">
        <v>76</v>
      </c>
      <c r="B212" s="324"/>
      <c r="C212" s="15"/>
      <c r="D212" s="291"/>
      <c r="E212" s="15"/>
      <c r="F212" s="291"/>
      <c r="G212" s="15"/>
      <c r="H212" s="235">
        <f>C212+E212+G212</f>
        <v>0</v>
      </c>
      <c r="I212" s="291"/>
      <c r="J212" s="15"/>
      <c r="K212" s="291"/>
      <c r="L212" s="15"/>
      <c r="M212" s="291"/>
      <c r="N212" s="15"/>
      <c r="O212" s="235"/>
      <c r="P212" s="291"/>
      <c r="Q212" s="15"/>
      <c r="R212" s="291"/>
      <c r="S212" s="15"/>
      <c r="T212" s="291"/>
      <c r="U212" s="15"/>
      <c r="V212" s="235">
        <f t="shared" si="68"/>
        <v>0</v>
      </c>
      <c r="W212" s="291"/>
      <c r="X212" s="15"/>
      <c r="Y212" s="291"/>
      <c r="Z212" s="15"/>
      <c r="AA212" s="291"/>
      <c r="AB212" s="15"/>
      <c r="AC212" s="235">
        <f>X212+Z212+AB212</f>
        <v>0</v>
      </c>
      <c r="AD212" s="12"/>
      <c r="AE212" s="235"/>
    </row>
    <row r="213" spans="1:31" s="54" customFormat="1" ht="14.25" customHeight="1" outlineLevel="1">
      <c r="A213" s="65" t="s">
        <v>54</v>
      </c>
      <c r="B213" s="324"/>
      <c r="C213" s="15"/>
      <c r="D213" s="291"/>
      <c r="E213" s="15"/>
      <c r="F213" s="291"/>
      <c r="G213" s="15"/>
      <c r="H213" s="235">
        <f>C213+E213+G213</f>
        <v>0</v>
      </c>
      <c r="I213" s="291"/>
      <c r="J213" s="15"/>
      <c r="K213" s="291"/>
      <c r="L213" s="15"/>
      <c r="M213" s="291"/>
      <c r="N213" s="15"/>
      <c r="O213" s="235"/>
      <c r="P213" s="291"/>
      <c r="Q213" s="15"/>
      <c r="R213" s="291"/>
      <c r="S213" s="15"/>
      <c r="T213" s="291"/>
      <c r="U213" s="15"/>
      <c r="V213" s="235">
        <f t="shared" si="68"/>
        <v>0</v>
      </c>
      <c r="W213" s="291"/>
      <c r="X213" s="15"/>
      <c r="Y213" s="291"/>
      <c r="Z213" s="15"/>
      <c r="AA213" s="291"/>
      <c r="AB213" s="15"/>
      <c r="AC213" s="235">
        <f>X213+Z213+AB213</f>
        <v>0</v>
      </c>
      <c r="AD213" s="12"/>
      <c r="AE213" s="235"/>
    </row>
    <row r="214" spans="1:31" s="54" customFormat="1" ht="14.25" customHeight="1" outlineLevel="1">
      <c r="A214" s="65" t="s">
        <v>50</v>
      </c>
      <c r="B214" s="324"/>
      <c r="C214" s="15"/>
      <c r="D214" s="291"/>
      <c r="E214" s="15"/>
      <c r="F214" s="291"/>
      <c r="G214" s="15"/>
      <c r="H214" s="235">
        <f>C214+E214+G214</f>
        <v>0</v>
      </c>
      <c r="I214" s="291"/>
      <c r="J214" s="15"/>
      <c r="K214" s="291"/>
      <c r="L214" s="15"/>
      <c r="M214" s="291"/>
      <c r="N214" s="15"/>
      <c r="O214" s="235"/>
      <c r="P214" s="291"/>
      <c r="Q214" s="15"/>
      <c r="R214" s="291"/>
      <c r="S214" s="113"/>
      <c r="T214" s="291"/>
      <c r="U214" s="113"/>
      <c r="V214" s="235">
        <f t="shared" si="68"/>
        <v>0</v>
      </c>
      <c r="W214" s="291"/>
      <c r="X214" s="15"/>
      <c r="Y214" s="291"/>
      <c r="Z214" s="113"/>
      <c r="AA214" s="291"/>
      <c r="AB214" s="113"/>
      <c r="AC214" s="235">
        <f>X214+Z214+AB214</f>
        <v>0</v>
      </c>
      <c r="AD214" s="12"/>
      <c r="AE214" s="235"/>
    </row>
    <row r="215" spans="1:31" s="54" customFormat="1" ht="14.25" customHeight="1" outlineLevel="1">
      <c r="A215" s="65" t="s">
        <v>606</v>
      </c>
      <c r="B215" s="324"/>
      <c r="C215" s="15"/>
      <c r="D215" s="291"/>
      <c r="E215" s="15"/>
      <c r="F215" s="291"/>
      <c r="G215" s="15"/>
      <c r="H215" s="235"/>
      <c r="I215" s="291"/>
      <c r="J215" s="15"/>
      <c r="K215" s="291"/>
      <c r="L215" s="15"/>
      <c r="M215" s="291"/>
      <c r="N215" s="15"/>
      <c r="O215" s="235"/>
      <c r="P215" s="291"/>
      <c r="Q215" s="15"/>
      <c r="R215" s="291"/>
      <c r="S215" s="15"/>
      <c r="T215" s="291"/>
      <c r="U215" s="15"/>
      <c r="V215" s="235">
        <f t="shared" si="68"/>
        <v>0</v>
      </c>
      <c r="W215" s="291"/>
      <c r="X215" s="15"/>
      <c r="Y215" s="291"/>
      <c r="Z215" s="15"/>
      <c r="AA215" s="291"/>
      <c r="AB215" s="15"/>
      <c r="AC215" s="235"/>
      <c r="AD215" s="12"/>
      <c r="AE215" s="235"/>
    </row>
    <row r="216" spans="1:31" s="54" customFormat="1" ht="14.25" customHeight="1" outlineLevel="1">
      <c r="A216" s="65" t="s">
        <v>74</v>
      </c>
      <c r="B216" s="324"/>
      <c r="C216" s="15"/>
      <c r="D216" s="291"/>
      <c r="E216" s="15"/>
      <c r="F216" s="291"/>
      <c r="G216" s="15">
        <f>16000</f>
        <v>16000</v>
      </c>
      <c r="H216" s="235">
        <f>C216+E216+G216</f>
        <v>16000</v>
      </c>
      <c r="I216" s="291"/>
      <c r="J216" s="113"/>
      <c r="K216" s="291"/>
      <c r="L216" s="113"/>
      <c r="M216" s="291"/>
      <c r="N216" s="15"/>
      <c r="O216" s="235"/>
      <c r="P216" s="291"/>
      <c r="Q216" s="15"/>
      <c r="R216" s="291"/>
      <c r="S216" s="15"/>
      <c r="T216" s="291"/>
      <c r="U216" s="113"/>
      <c r="V216" s="235">
        <f t="shared" si="68"/>
        <v>0</v>
      </c>
      <c r="W216" s="291"/>
      <c r="X216" s="15"/>
      <c r="Y216" s="291"/>
      <c r="Z216" s="113"/>
      <c r="AA216" s="291"/>
      <c r="AB216" s="113"/>
      <c r="AC216" s="235">
        <f>X216+Z216+AB216</f>
        <v>0</v>
      </c>
      <c r="AD216" s="12"/>
      <c r="AE216" s="235"/>
    </row>
    <row r="217" spans="1:31" s="185" customFormat="1" ht="14.25" customHeight="1" outlineLevel="1">
      <c r="A217" s="182" t="s">
        <v>128</v>
      </c>
      <c r="B217" s="336">
        <f aca="true" t="shared" si="69" ref="B217:H217">SUM(B218:B234)</f>
        <v>0</v>
      </c>
      <c r="C217" s="183">
        <f t="shared" si="69"/>
        <v>206425</v>
      </c>
      <c r="D217" s="303">
        <f t="shared" si="69"/>
        <v>0</v>
      </c>
      <c r="E217" s="183">
        <f t="shared" si="69"/>
        <v>318251</v>
      </c>
      <c r="F217" s="303">
        <f t="shared" si="69"/>
        <v>0</v>
      </c>
      <c r="G217" s="183">
        <f t="shared" si="69"/>
        <v>72550</v>
      </c>
      <c r="H217" s="247">
        <f t="shared" si="69"/>
        <v>531076</v>
      </c>
      <c r="I217" s="303"/>
      <c r="J217" s="183"/>
      <c r="K217" s="303"/>
      <c r="L217" s="183"/>
      <c r="M217" s="303"/>
      <c r="N217" s="183"/>
      <c r="O217" s="247"/>
      <c r="P217" s="303"/>
      <c r="Q217" s="183"/>
      <c r="R217" s="303"/>
      <c r="S217" s="183"/>
      <c r="T217" s="303"/>
      <c r="U217" s="183"/>
      <c r="V217" s="247">
        <f aca="true" t="shared" si="70" ref="V217:AE217">SUM(V218:V234)</f>
        <v>0</v>
      </c>
      <c r="W217" s="303">
        <f t="shared" si="70"/>
        <v>0</v>
      </c>
      <c r="X217" s="183">
        <f t="shared" si="70"/>
        <v>0</v>
      </c>
      <c r="Y217" s="303">
        <f t="shared" si="70"/>
        <v>0</v>
      </c>
      <c r="Z217" s="183">
        <f t="shared" si="70"/>
        <v>0</v>
      </c>
      <c r="AA217" s="303">
        <f t="shared" si="70"/>
        <v>0</v>
      </c>
      <c r="AB217" s="183">
        <f t="shared" si="70"/>
        <v>0</v>
      </c>
      <c r="AC217" s="247">
        <f t="shared" si="70"/>
        <v>0</v>
      </c>
      <c r="AD217" s="184">
        <f t="shared" si="70"/>
        <v>0</v>
      </c>
      <c r="AE217" s="247">
        <f t="shared" si="70"/>
        <v>0</v>
      </c>
    </row>
    <row r="218" spans="1:31" s="219" customFormat="1" ht="14.25" customHeight="1" outlineLevel="1">
      <c r="A218" s="65" t="s">
        <v>64</v>
      </c>
      <c r="B218" s="324"/>
      <c r="C218" s="15"/>
      <c r="D218" s="291"/>
      <c r="E218" s="15">
        <f>27190</f>
        <v>27190</v>
      </c>
      <c r="F218" s="291"/>
      <c r="G218" s="15"/>
      <c r="H218" s="235">
        <f>C218+E218+G218</f>
        <v>27190</v>
      </c>
      <c r="I218" s="291"/>
      <c r="J218" s="15"/>
      <c r="K218" s="291"/>
      <c r="L218" s="15"/>
      <c r="M218" s="291"/>
      <c r="N218" s="15"/>
      <c r="O218" s="235"/>
      <c r="P218" s="291"/>
      <c r="Q218" s="15"/>
      <c r="R218" s="291"/>
      <c r="S218" s="15"/>
      <c r="T218" s="291"/>
      <c r="U218" s="15"/>
      <c r="V218" s="235">
        <f>Q218+S218+U218</f>
        <v>0</v>
      </c>
      <c r="W218" s="291"/>
      <c r="X218" s="15"/>
      <c r="Y218" s="291"/>
      <c r="Z218" s="15"/>
      <c r="AA218" s="291"/>
      <c r="AB218" s="113"/>
      <c r="AC218" s="235">
        <f>X218+Z218+AB218</f>
        <v>0</v>
      </c>
      <c r="AD218" s="12"/>
      <c r="AE218" s="235"/>
    </row>
    <row r="219" spans="1:31" s="219" customFormat="1" ht="14.25" customHeight="1" outlineLevel="1">
      <c r="A219" s="65" t="s">
        <v>647</v>
      </c>
      <c r="B219" s="324"/>
      <c r="C219" s="15"/>
      <c r="D219" s="291"/>
      <c r="E219" s="15"/>
      <c r="F219" s="291"/>
      <c r="G219" s="15"/>
      <c r="H219" s="235"/>
      <c r="I219" s="291"/>
      <c r="J219" s="15"/>
      <c r="K219" s="291"/>
      <c r="L219" s="113"/>
      <c r="M219" s="291"/>
      <c r="N219" s="113"/>
      <c r="O219" s="235"/>
      <c r="P219" s="291"/>
      <c r="Q219" s="15"/>
      <c r="R219" s="291"/>
      <c r="S219" s="15"/>
      <c r="T219" s="291"/>
      <c r="U219" s="15"/>
      <c r="V219" s="235"/>
      <c r="W219" s="291"/>
      <c r="X219" s="15"/>
      <c r="Y219" s="291"/>
      <c r="Z219" s="113"/>
      <c r="AA219" s="291"/>
      <c r="AB219" s="15"/>
      <c r="AC219" s="235"/>
      <c r="AD219" s="12"/>
      <c r="AE219" s="235"/>
    </row>
    <row r="220" spans="1:31" s="219" customFormat="1" ht="14.25" customHeight="1" outlineLevel="1">
      <c r="A220" s="65" t="s">
        <v>119</v>
      </c>
      <c r="B220" s="324"/>
      <c r="C220" s="15">
        <f>7000+5244</f>
        <v>12244</v>
      </c>
      <c r="D220" s="291"/>
      <c r="E220" s="15"/>
      <c r="F220" s="291"/>
      <c r="G220" s="15"/>
      <c r="H220" s="235">
        <f>C220+E220+G220</f>
        <v>12244</v>
      </c>
      <c r="I220" s="291"/>
      <c r="J220" s="221"/>
      <c r="K220" s="291"/>
      <c r="L220" s="113"/>
      <c r="M220" s="291"/>
      <c r="N220" s="113"/>
      <c r="O220" s="235"/>
      <c r="P220" s="291"/>
      <c r="Q220" s="15"/>
      <c r="R220" s="291"/>
      <c r="S220" s="15"/>
      <c r="T220" s="291"/>
      <c r="U220" s="15"/>
      <c r="V220" s="235">
        <f>Q220+S220+U220</f>
        <v>0</v>
      </c>
      <c r="W220" s="291"/>
      <c r="X220" s="113"/>
      <c r="Y220" s="291"/>
      <c r="Z220" s="113"/>
      <c r="AA220" s="291"/>
      <c r="AB220" s="15"/>
      <c r="AC220" s="235">
        <f>X220+Z220+AB220</f>
        <v>0</v>
      </c>
      <c r="AD220" s="12"/>
      <c r="AE220" s="235"/>
    </row>
    <row r="221" spans="1:31" s="219" customFormat="1" ht="14.25" customHeight="1" outlineLevel="1">
      <c r="A221" s="65" t="s">
        <v>651</v>
      </c>
      <c r="B221" s="324"/>
      <c r="C221" s="15"/>
      <c r="D221" s="291"/>
      <c r="E221" s="15"/>
      <c r="F221" s="291"/>
      <c r="G221" s="15"/>
      <c r="H221" s="235"/>
      <c r="I221" s="291"/>
      <c r="J221" s="15"/>
      <c r="K221" s="291"/>
      <c r="L221" s="15"/>
      <c r="M221" s="291"/>
      <c r="N221" s="113"/>
      <c r="O221" s="235"/>
      <c r="P221" s="291"/>
      <c r="Q221" s="15"/>
      <c r="R221" s="291"/>
      <c r="S221" s="15"/>
      <c r="T221" s="291"/>
      <c r="U221" s="15"/>
      <c r="V221" s="235"/>
      <c r="W221" s="291"/>
      <c r="X221" s="15"/>
      <c r="Y221" s="291"/>
      <c r="Z221" s="113"/>
      <c r="AA221" s="291"/>
      <c r="AB221" s="15"/>
      <c r="AC221" s="235"/>
      <c r="AD221" s="12"/>
      <c r="AE221" s="235"/>
    </row>
    <row r="222" spans="1:31" s="219" customFormat="1" ht="14.25" customHeight="1" outlineLevel="1">
      <c r="A222" s="65" t="s">
        <v>563</v>
      </c>
      <c r="B222" s="324"/>
      <c r="C222" s="15">
        <f>8570+6350</f>
        <v>14920</v>
      </c>
      <c r="D222" s="291"/>
      <c r="E222" s="15"/>
      <c r="F222" s="291"/>
      <c r="G222" s="15"/>
      <c r="H222" s="235">
        <f>C222+E222+G222</f>
        <v>14920</v>
      </c>
      <c r="I222" s="291"/>
      <c r="J222" s="15"/>
      <c r="K222" s="291"/>
      <c r="L222" s="15"/>
      <c r="M222" s="291"/>
      <c r="N222" s="15"/>
      <c r="O222" s="235"/>
      <c r="P222" s="291"/>
      <c r="Q222" s="15"/>
      <c r="R222" s="291"/>
      <c r="S222" s="15"/>
      <c r="T222" s="291"/>
      <c r="U222" s="15"/>
      <c r="V222" s="235">
        <f>Q222+S222+U222</f>
        <v>0</v>
      </c>
      <c r="W222" s="291"/>
      <c r="X222" s="15"/>
      <c r="Y222" s="291"/>
      <c r="Z222" s="15"/>
      <c r="AA222" s="291"/>
      <c r="AB222" s="15"/>
      <c r="AC222" s="235">
        <f>X222+Z222+AB222</f>
        <v>0</v>
      </c>
      <c r="AD222" s="12"/>
      <c r="AE222" s="235"/>
    </row>
    <row r="223" spans="1:31" s="219" customFormat="1" ht="14.25" customHeight="1" outlineLevel="1">
      <c r="A223" s="65" t="s">
        <v>71</v>
      </c>
      <c r="B223" s="324"/>
      <c r="C223" s="15">
        <f>32728</f>
        <v>32728</v>
      </c>
      <c r="D223" s="291"/>
      <c r="E223" s="15"/>
      <c r="F223" s="291"/>
      <c r="G223" s="497">
        <f>6400</f>
        <v>6400</v>
      </c>
      <c r="H223" s="235">
        <f>C223+E223+G223</f>
        <v>39128</v>
      </c>
      <c r="I223" s="291"/>
      <c r="J223" s="221"/>
      <c r="K223" s="291"/>
      <c r="L223" s="113"/>
      <c r="M223" s="291"/>
      <c r="N223" s="113"/>
      <c r="O223" s="235"/>
      <c r="P223" s="291"/>
      <c r="Q223" s="15"/>
      <c r="R223" s="291"/>
      <c r="S223" s="15"/>
      <c r="T223" s="291"/>
      <c r="U223" s="15"/>
      <c r="V223" s="235">
        <f>Q223+S223+U223</f>
        <v>0</v>
      </c>
      <c r="W223" s="291"/>
      <c r="X223" s="15"/>
      <c r="Y223" s="291"/>
      <c r="Z223" s="113"/>
      <c r="AA223" s="291"/>
      <c r="AB223" s="15"/>
      <c r="AC223" s="235">
        <f>X223+Z223+AB223</f>
        <v>0</v>
      </c>
      <c r="AD223" s="12"/>
      <c r="AE223" s="235"/>
    </row>
    <row r="224" spans="1:31" s="219" customFormat="1" ht="14.25" customHeight="1" outlineLevel="1">
      <c r="A224" s="65" t="s">
        <v>527</v>
      </c>
      <c r="B224" s="324"/>
      <c r="C224" s="15"/>
      <c r="D224" s="291"/>
      <c r="E224" s="15"/>
      <c r="F224" s="291"/>
      <c r="G224" s="15"/>
      <c r="H224" s="235"/>
      <c r="I224" s="291"/>
      <c r="J224" s="15"/>
      <c r="K224" s="291"/>
      <c r="L224" s="113"/>
      <c r="M224" s="291"/>
      <c r="N224" s="113"/>
      <c r="O224" s="235"/>
      <c r="P224" s="291"/>
      <c r="Q224" s="15"/>
      <c r="R224" s="291"/>
      <c r="S224" s="15"/>
      <c r="T224" s="291"/>
      <c r="U224" s="15"/>
      <c r="V224" s="235"/>
      <c r="W224" s="291"/>
      <c r="X224" s="15"/>
      <c r="Y224" s="291"/>
      <c r="Z224" s="113"/>
      <c r="AA224" s="291"/>
      <c r="AB224" s="15"/>
      <c r="AC224" s="235"/>
      <c r="AD224" s="12"/>
      <c r="AE224" s="235"/>
    </row>
    <row r="225" spans="1:31" s="219" customFormat="1" ht="14.25" customHeight="1" outlineLevel="1">
      <c r="A225" s="65" t="s">
        <v>649</v>
      </c>
      <c r="B225" s="324"/>
      <c r="C225" s="15"/>
      <c r="D225" s="291"/>
      <c r="E225" s="15"/>
      <c r="F225" s="291"/>
      <c r="G225" s="15"/>
      <c r="H225" s="235"/>
      <c r="I225" s="291"/>
      <c r="J225" s="15"/>
      <c r="K225" s="291"/>
      <c r="L225" s="113"/>
      <c r="M225" s="291"/>
      <c r="N225" s="113"/>
      <c r="O225" s="235"/>
      <c r="P225" s="291"/>
      <c r="Q225" s="15"/>
      <c r="R225" s="291"/>
      <c r="S225" s="15"/>
      <c r="T225" s="291"/>
      <c r="U225" s="15"/>
      <c r="V225" s="235"/>
      <c r="W225" s="291"/>
      <c r="X225" s="15"/>
      <c r="Y225" s="291"/>
      <c r="Z225" s="113"/>
      <c r="AA225" s="291"/>
      <c r="AB225" s="15"/>
      <c r="AC225" s="235"/>
      <c r="AD225" s="12"/>
      <c r="AE225" s="235"/>
    </row>
    <row r="226" spans="1:31" s="219" customFormat="1" ht="14.25" customHeight="1" outlineLevel="1">
      <c r="A226" s="65" t="s">
        <v>650</v>
      </c>
      <c r="B226" s="324"/>
      <c r="C226" s="15"/>
      <c r="D226" s="291"/>
      <c r="E226" s="15"/>
      <c r="F226" s="291"/>
      <c r="G226" s="15"/>
      <c r="H226" s="235"/>
      <c r="I226" s="291"/>
      <c r="J226" s="15"/>
      <c r="K226" s="291"/>
      <c r="L226" s="113"/>
      <c r="M226" s="291"/>
      <c r="N226" s="113"/>
      <c r="O226" s="235"/>
      <c r="P226" s="291"/>
      <c r="Q226" s="15"/>
      <c r="R226" s="291"/>
      <c r="S226" s="15"/>
      <c r="T226" s="291"/>
      <c r="U226" s="15"/>
      <c r="V226" s="235"/>
      <c r="W226" s="291"/>
      <c r="X226" s="15"/>
      <c r="Y226" s="291"/>
      <c r="Z226" s="113"/>
      <c r="AA226" s="291"/>
      <c r="AB226" s="15"/>
      <c r="AC226" s="235"/>
      <c r="AD226" s="12"/>
      <c r="AE226" s="235"/>
    </row>
    <row r="227" spans="1:31" s="219" customFormat="1" ht="14.25" customHeight="1" outlineLevel="1">
      <c r="A227" s="65" t="s">
        <v>186</v>
      </c>
      <c r="B227" s="324"/>
      <c r="C227" s="15"/>
      <c r="D227" s="291"/>
      <c r="E227" s="15"/>
      <c r="F227" s="291"/>
      <c r="G227" s="497">
        <v>66150</v>
      </c>
      <c r="H227" s="235"/>
      <c r="I227" s="291"/>
      <c r="J227" s="15"/>
      <c r="K227" s="291"/>
      <c r="L227" s="15"/>
      <c r="M227" s="291"/>
      <c r="N227" s="113"/>
      <c r="O227" s="235"/>
      <c r="P227" s="291"/>
      <c r="Q227" s="15"/>
      <c r="R227" s="291"/>
      <c r="S227" s="15"/>
      <c r="T227" s="291"/>
      <c r="U227" s="15"/>
      <c r="V227" s="235">
        <f>Q227+S227+U227</f>
        <v>0</v>
      </c>
      <c r="W227" s="291"/>
      <c r="X227" s="15"/>
      <c r="Y227" s="291"/>
      <c r="Z227" s="113"/>
      <c r="AA227" s="291"/>
      <c r="AB227" s="15"/>
      <c r="AC227" s="235">
        <f>X227+Z227+AB227</f>
        <v>0</v>
      </c>
      <c r="AD227" s="12"/>
      <c r="AE227" s="235"/>
    </row>
    <row r="228" spans="1:31" s="219" customFormat="1" ht="14.25" customHeight="1" outlineLevel="1">
      <c r="A228" s="65" t="s">
        <v>705</v>
      </c>
      <c r="B228" s="324"/>
      <c r="C228" s="15"/>
      <c r="D228" s="291"/>
      <c r="E228" s="15"/>
      <c r="F228" s="291"/>
      <c r="G228" s="15"/>
      <c r="H228" s="235"/>
      <c r="I228" s="291"/>
      <c r="J228" s="15"/>
      <c r="K228" s="291"/>
      <c r="L228" s="15"/>
      <c r="M228" s="291"/>
      <c r="N228" s="113"/>
      <c r="O228" s="235"/>
      <c r="P228" s="291"/>
      <c r="Q228" s="15"/>
      <c r="R228" s="291"/>
      <c r="S228" s="15"/>
      <c r="T228" s="291"/>
      <c r="U228" s="15"/>
      <c r="V228" s="235"/>
      <c r="W228" s="291"/>
      <c r="X228" s="15"/>
      <c r="Y228" s="291"/>
      <c r="Z228" s="113"/>
      <c r="AA228" s="291"/>
      <c r="AB228" s="15"/>
      <c r="AC228" s="235"/>
      <c r="AD228" s="12"/>
      <c r="AE228" s="235"/>
    </row>
    <row r="229" spans="1:31" s="219" customFormat="1" ht="14.25" customHeight="1" outlineLevel="1">
      <c r="A229" s="65" t="s">
        <v>688</v>
      </c>
      <c r="B229" s="324"/>
      <c r="C229" s="15"/>
      <c r="D229" s="291"/>
      <c r="E229" s="15"/>
      <c r="F229" s="291"/>
      <c r="G229" s="15"/>
      <c r="H229" s="235"/>
      <c r="I229" s="291"/>
      <c r="J229" s="221"/>
      <c r="K229" s="291"/>
      <c r="L229" s="113"/>
      <c r="M229" s="291"/>
      <c r="N229" s="113"/>
      <c r="O229" s="235"/>
      <c r="P229" s="291"/>
      <c r="Q229" s="15"/>
      <c r="R229" s="291"/>
      <c r="S229" s="15"/>
      <c r="T229" s="291"/>
      <c r="U229" s="15"/>
      <c r="V229" s="235"/>
      <c r="W229" s="291"/>
      <c r="X229" s="113"/>
      <c r="Y229" s="291"/>
      <c r="Z229" s="113"/>
      <c r="AA229" s="291"/>
      <c r="AB229" s="15"/>
      <c r="AC229" s="235"/>
      <c r="AD229" s="12"/>
      <c r="AE229" s="235"/>
    </row>
    <row r="230" spans="1:31" s="219" customFormat="1" ht="14.25" customHeight="1" outlineLevel="1">
      <c r="A230" s="65" t="s">
        <v>76</v>
      </c>
      <c r="B230" s="324"/>
      <c r="C230" s="15"/>
      <c r="D230" s="291"/>
      <c r="E230" s="15"/>
      <c r="F230" s="291"/>
      <c r="G230" s="15"/>
      <c r="H230" s="235">
        <f>C230+E230+G230</f>
        <v>0</v>
      </c>
      <c r="I230" s="291"/>
      <c r="J230" s="15"/>
      <c r="K230" s="291"/>
      <c r="L230" s="15"/>
      <c r="M230" s="291"/>
      <c r="N230" s="15"/>
      <c r="O230" s="235"/>
      <c r="P230" s="291"/>
      <c r="Q230" s="15"/>
      <c r="R230" s="291"/>
      <c r="S230" s="15"/>
      <c r="T230" s="291"/>
      <c r="U230" s="15"/>
      <c r="V230" s="235">
        <f>Q230+S230+U230</f>
        <v>0</v>
      </c>
      <c r="W230" s="291"/>
      <c r="X230" s="15"/>
      <c r="Y230" s="291"/>
      <c r="Z230" s="15"/>
      <c r="AA230" s="291"/>
      <c r="AB230" s="15"/>
      <c r="AC230" s="235">
        <f>X230+Z230+AB230</f>
        <v>0</v>
      </c>
      <c r="AD230" s="12"/>
      <c r="AE230" s="235"/>
    </row>
    <row r="231" spans="1:31" s="219" customFormat="1" ht="14.25" customHeight="1" outlineLevel="1">
      <c r="A231" s="65" t="s">
        <v>50</v>
      </c>
      <c r="B231" s="324"/>
      <c r="C231" s="15">
        <f>5800</f>
        <v>5800</v>
      </c>
      <c r="D231" s="291"/>
      <c r="E231" s="15"/>
      <c r="F231" s="291"/>
      <c r="G231" s="15"/>
      <c r="H231" s="235">
        <f>C231+E231+G231</f>
        <v>5800</v>
      </c>
      <c r="I231" s="291"/>
      <c r="J231" s="15"/>
      <c r="K231" s="291"/>
      <c r="L231" s="113"/>
      <c r="M231" s="291"/>
      <c r="N231" s="113"/>
      <c r="O231" s="235"/>
      <c r="P231" s="291"/>
      <c r="Q231" s="15"/>
      <c r="R231" s="291"/>
      <c r="S231" s="15"/>
      <c r="T231" s="291"/>
      <c r="U231" s="15"/>
      <c r="V231" s="235">
        <f>Q231+S231+U231</f>
        <v>0</v>
      </c>
      <c r="W231" s="291"/>
      <c r="X231" s="15"/>
      <c r="Y231" s="291"/>
      <c r="Z231" s="113"/>
      <c r="AA231" s="291"/>
      <c r="AB231" s="15"/>
      <c r="AC231" s="235">
        <f>X231+Z231+AB231</f>
        <v>0</v>
      </c>
      <c r="AD231" s="12"/>
      <c r="AE231" s="235"/>
    </row>
    <row r="232" spans="1:31" s="219" customFormat="1" ht="14.25" customHeight="1" outlineLevel="1">
      <c r="A232" s="65" t="s">
        <v>652</v>
      </c>
      <c r="B232" s="324"/>
      <c r="C232" s="15"/>
      <c r="D232" s="291"/>
      <c r="E232" s="15"/>
      <c r="F232" s="291"/>
      <c r="G232" s="15"/>
      <c r="H232" s="235">
        <f>C232+E232+G232</f>
        <v>0</v>
      </c>
      <c r="I232" s="291"/>
      <c r="J232" s="221"/>
      <c r="K232" s="291"/>
      <c r="L232" s="15"/>
      <c r="M232" s="291"/>
      <c r="N232" s="15"/>
      <c r="O232" s="235"/>
      <c r="P232" s="291"/>
      <c r="Q232" s="15"/>
      <c r="R232" s="291"/>
      <c r="S232" s="15"/>
      <c r="T232" s="291"/>
      <c r="U232" s="15"/>
      <c r="V232" s="235">
        <f>Q232+S232+U232</f>
        <v>0</v>
      </c>
      <c r="W232" s="291"/>
      <c r="X232" s="113"/>
      <c r="Y232" s="291"/>
      <c r="Z232" s="15"/>
      <c r="AA232" s="291"/>
      <c r="AB232" s="15"/>
      <c r="AC232" s="235">
        <f>X232+Z232+AB232</f>
        <v>0</v>
      </c>
      <c r="AD232" s="12"/>
      <c r="AE232" s="235"/>
    </row>
    <row r="233" spans="1:31" s="219" customFormat="1" ht="14.25" customHeight="1" outlineLevel="1">
      <c r="A233" s="65" t="s">
        <v>125</v>
      </c>
      <c r="B233" s="324"/>
      <c r="C233" s="15">
        <f>46200+1200</f>
        <v>47400</v>
      </c>
      <c r="D233" s="291"/>
      <c r="E233" s="221">
        <f>148500</f>
        <v>148500</v>
      </c>
      <c r="F233" s="291"/>
      <c r="G233" s="221"/>
      <c r="H233" s="235">
        <f>C233+E233+G233</f>
        <v>195900</v>
      </c>
      <c r="I233" s="291"/>
      <c r="J233" s="15"/>
      <c r="K233" s="291"/>
      <c r="L233" s="15"/>
      <c r="M233" s="291"/>
      <c r="N233" s="15"/>
      <c r="O233" s="235"/>
      <c r="P233" s="291"/>
      <c r="Q233" s="15"/>
      <c r="R233" s="291"/>
      <c r="S233" s="15"/>
      <c r="T233" s="291"/>
      <c r="U233" s="15"/>
      <c r="V233" s="235">
        <f>Q233+S233+U233</f>
        <v>0</v>
      </c>
      <c r="W233" s="291"/>
      <c r="X233" s="113"/>
      <c r="Y233" s="291"/>
      <c r="Z233" s="15"/>
      <c r="AA233" s="291"/>
      <c r="AB233" s="113"/>
      <c r="AC233" s="235">
        <f>X233+Z233+AB233</f>
        <v>0</v>
      </c>
      <c r="AD233" s="12"/>
      <c r="AE233" s="235"/>
    </row>
    <row r="234" spans="1:31" s="219" customFormat="1" ht="14.25" customHeight="1" outlineLevel="1">
      <c r="A234" s="65" t="s">
        <v>74</v>
      </c>
      <c r="B234" s="324"/>
      <c r="C234" s="223">
        <f>5782+59500+10855+3117+3387+6291+2600+1801</f>
        <v>93333</v>
      </c>
      <c r="D234" s="291"/>
      <c r="E234" s="15">
        <f>3809+7370+32000+32000+32630+34752</f>
        <v>142561</v>
      </c>
      <c r="F234" s="291"/>
      <c r="G234" s="221"/>
      <c r="H234" s="235">
        <f>C234+E234+G234</f>
        <v>235894</v>
      </c>
      <c r="I234" s="291"/>
      <c r="J234" s="15"/>
      <c r="K234" s="291"/>
      <c r="L234" s="113"/>
      <c r="M234" s="291"/>
      <c r="N234" s="113"/>
      <c r="O234" s="235"/>
      <c r="P234" s="291"/>
      <c r="Q234" s="15"/>
      <c r="R234" s="291"/>
      <c r="S234" s="15"/>
      <c r="T234" s="291"/>
      <c r="U234" s="15"/>
      <c r="V234" s="235">
        <f>Q234+S234+U234</f>
        <v>0</v>
      </c>
      <c r="W234" s="291"/>
      <c r="X234" s="15"/>
      <c r="Y234" s="291"/>
      <c r="Z234" s="15"/>
      <c r="AA234" s="291"/>
      <c r="AB234" s="15"/>
      <c r="AC234" s="235">
        <f>X234+Z234+AB234</f>
        <v>0</v>
      </c>
      <c r="AD234" s="12"/>
      <c r="AE234" s="235"/>
    </row>
    <row r="235" spans="1:31" ht="30.75" thickBot="1">
      <c r="A235" s="353" t="s">
        <v>162</v>
      </c>
      <c r="B235" s="354"/>
      <c r="C235" s="355" t="e">
        <f>C241+C242</f>
        <v>#REF!</v>
      </c>
      <c r="D235" s="356"/>
      <c r="E235" s="355" t="e">
        <f aca="true" t="shared" si="71" ref="E235:AE235">E241+E242</f>
        <v>#REF!</v>
      </c>
      <c r="F235" s="356">
        <f t="shared" si="71"/>
        <v>0</v>
      </c>
      <c r="G235" s="357" t="e">
        <f t="shared" si="71"/>
        <v>#REF!</v>
      </c>
      <c r="H235" s="267" t="e">
        <f t="shared" si="71"/>
        <v>#REF!</v>
      </c>
      <c r="I235" s="356"/>
      <c r="J235" s="357"/>
      <c r="K235" s="356"/>
      <c r="L235" s="357"/>
      <c r="M235" s="356"/>
      <c r="N235" s="357"/>
      <c r="O235" s="267"/>
      <c r="P235" s="356"/>
      <c r="Q235" s="357"/>
      <c r="R235" s="356"/>
      <c r="S235" s="357"/>
      <c r="T235" s="356"/>
      <c r="U235" s="357"/>
      <c r="V235" s="267">
        <f t="shared" si="71"/>
        <v>0</v>
      </c>
      <c r="W235" s="356">
        <f t="shared" si="71"/>
        <v>0</v>
      </c>
      <c r="X235" s="357" t="e">
        <f t="shared" si="71"/>
        <v>#REF!</v>
      </c>
      <c r="Y235" s="356">
        <f t="shared" si="71"/>
        <v>0</v>
      </c>
      <c r="Z235" s="357" t="e">
        <f t="shared" si="71"/>
        <v>#REF!</v>
      </c>
      <c r="AA235" s="356">
        <f t="shared" si="71"/>
        <v>0</v>
      </c>
      <c r="AB235" s="357" t="e">
        <f t="shared" si="71"/>
        <v>#REF!</v>
      </c>
      <c r="AC235" s="267" t="e">
        <f t="shared" si="71"/>
        <v>#REF!</v>
      </c>
      <c r="AD235" s="358">
        <f t="shared" si="71"/>
        <v>0</v>
      </c>
      <c r="AE235" s="267">
        <f t="shared" si="71"/>
        <v>0</v>
      </c>
    </row>
    <row r="236" spans="1:47" s="121" customFormat="1" ht="18.75" customHeight="1">
      <c r="A236" s="116" t="s">
        <v>145</v>
      </c>
      <c r="B236" s="350"/>
      <c r="C236" s="118"/>
      <c r="D236" s="317"/>
      <c r="E236" s="118"/>
      <c r="F236" s="317"/>
      <c r="G236" s="218"/>
      <c r="H236" s="235">
        <f>C236+E236+G236</f>
        <v>0</v>
      </c>
      <c r="I236" s="317"/>
      <c r="J236" s="222"/>
      <c r="K236" s="317"/>
      <c r="L236" s="218"/>
      <c r="M236" s="317"/>
      <c r="N236" s="118"/>
      <c r="O236" s="235"/>
      <c r="P236" s="317"/>
      <c r="Q236" s="118"/>
      <c r="R236" s="317"/>
      <c r="S236" s="118"/>
      <c r="T236" s="317"/>
      <c r="U236" s="118"/>
      <c r="V236" s="235">
        <f>Q236+S236+U236</f>
        <v>0</v>
      </c>
      <c r="W236" s="317"/>
      <c r="X236" s="118"/>
      <c r="Y236" s="317"/>
      <c r="Z236" s="118"/>
      <c r="AA236" s="317"/>
      <c r="AB236" s="118"/>
      <c r="AC236" s="235">
        <f>X236+Z236+AB236</f>
        <v>0</v>
      </c>
      <c r="AD236" s="119"/>
      <c r="AE236" s="235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T236" s="122"/>
      <c r="AU236" s="122"/>
    </row>
    <row r="237" spans="1:47" s="121" customFormat="1" ht="18.75" customHeight="1">
      <c r="A237" s="116" t="s">
        <v>148</v>
      </c>
      <c r="B237" s="350"/>
      <c r="C237" s="118"/>
      <c r="D237" s="317"/>
      <c r="E237" s="118"/>
      <c r="F237" s="317"/>
      <c r="G237" s="218"/>
      <c r="H237" s="235">
        <f>C237+E237+G237</f>
        <v>0</v>
      </c>
      <c r="I237" s="317"/>
      <c r="J237" s="222"/>
      <c r="K237" s="317"/>
      <c r="L237" s="218"/>
      <c r="M237" s="317"/>
      <c r="N237" s="218"/>
      <c r="O237" s="235"/>
      <c r="P237" s="317"/>
      <c r="Q237" s="118"/>
      <c r="R237" s="317"/>
      <c r="S237" s="118"/>
      <c r="T237" s="317"/>
      <c r="U237" s="118"/>
      <c r="V237" s="235">
        <f>Q237+S237+U237</f>
        <v>0</v>
      </c>
      <c r="W237" s="317"/>
      <c r="X237" s="118"/>
      <c r="Y237" s="317"/>
      <c r="Z237" s="118"/>
      <c r="AA237" s="317"/>
      <c r="AB237" s="118"/>
      <c r="AC237" s="235">
        <f>X237+Z237+AB237</f>
        <v>0</v>
      </c>
      <c r="AD237" s="119"/>
      <c r="AE237" s="235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T237" s="122"/>
      <c r="AU237" s="122"/>
    </row>
    <row r="238" spans="1:47" s="121" customFormat="1" ht="18.75" customHeight="1">
      <c r="A238" s="116" t="s">
        <v>232</v>
      </c>
      <c r="B238" s="350"/>
      <c r="C238" s="118"/>
      <c r="D238" s="317"/>
      <c r="E238" s="118"/>
      <c r="F238" s="317"/>
      <c r="G238" s="218">
        <v>140000</v>
      </c>
      <c r="H238" s="235">
        <f>C238+E238+G238</f>
        <v>140000</v>
      </c>
      <c r="I238" s="317"/>
      <c r="J238" s="222"/>
      <c r="K238" s="317"/>
      <c r="L238" s="218"/>
      <c r="M238" s="317"/>
      <c r="N238" s="218"/>
      <c r="O238" s="235"/>
      <c r="P238" s="317"/>
      <c r="Q238" s="218"/>
      <c r="R238" s="317"/>
      <c r="S238" s="218"/>
      <c r="T238" s="317"/>
      <c r="U238" s="218"/>
      <c r="V238" s="235"/>
      <c r="W238" s="317"/>
      <c r="X238" s="218"/>
      <c r="Y238" s="317"/>
      <c r="Z238" s="218"/>
      <c r="AA238" s="317"/>
      <c r="AB238" s="218"/>
      <c r="AC238" s="235"/>
      <c r="AD238" s="119"/>
      <c r="AE238" s="235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T238" s="122"/>
      <c r="AU238" s="122"/>
    </row>
    <row r="239" spans="1:47" s="121" customFormat="1" ht="18.75" customHeight="1">
      <c r="A239" s="116" t="s">
        <v>139</v>
      </c>
      <c r="B239" s="350"/>
      <c r="C239" s="118">
        <v>2300000</v>
      </c>
      <c r="D239" s="317"/>
      <c r="E239" s="118"/>
      <c r="F239" s="317"/>
      <c r="G239" s="222"/>
      <c r="H239" s="235">
        <f>C239+E239+G239</f>
        <v>2300000</v>
      </c>
      <c r="I239" s="317"/>
      <c r="J239" s="118"/>
      <c r="K239" s="317"/>
      <c r="L239" s="218"/>
      <c r="M239" s="317"/>
      <c r="N239" s="118"/>
      <c r="O239" s="235"/>
      <c r="P239" s="317"/>
      <c r="Q239" s="118"/>
      <c r="R239" s="317"/>
      <c r="S239" s="118"/>
      <c r="T239" s="317"/>
      <c r="U239" s="118"/>
      <c r="V239" s="235">
        <f>Q239+S239+U239</f>
        <v>0</v>
      </c>
      <c r="W239" s="317"/>
      <c r="X239" s="118"/>
      <c r="Y239" s="317"/>
      <c r="Z239" s="118"/>
      <c r="AA239" s="317"/>
      <c r="AB239" s="118"/>
      <c r="AC239" s="235">
        <f>X239+Z239+AB239</f>
        <v>0</v>
      </c>
      <c r="AD239" s="119"/>
      <c r="AE239" s="235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T239" s="122"/>
      <c r="AU239" s="122"/>
    </row>
    <row r="240" spans="1:47" s="121" customFormat="1" ht="18.75" customHeight="1">
      <c r="A240" s="116" t="s">
        <v>127</v>
      </c>
      <c r="B240" s="350"/>
      <c r="C240" s="118"/>
      <c r="D240" s="317"/>
      <c r="E240" s="222"/>
      <c r="F240" s="317"/>
      <c r="G240" s="118"/>
      <c r="H240" s="237">
        <f>C240+E240+G240</f>
        <v>0</v>
      </c>
      <c r="I240" s="317"/>
      <c r="J240" s="118"/>
      <c r="K240" s="317"/>
      <c r="L240" s="118"/>
      <c r="M240" s="317"/>
      <c r="N240" s="118"/>
      <c r="O240" s="237"/>
      <c r="P240" s="317"/>
      <c r="Q240" s="118"/>
      <c r="R240" s="317"/>
      <c r="S240" s="118"/>
      <c r="T240" s="317"/>
      <c r="U240" s="118"/>
      <c r="V240" s="237">
        <f>Q240+S240+U240</f>
        <v>0</v>
      </c>
      <c r="W240" s="317"/>
      <c r="X240" s="118"/>
      <c r="Y240" s="317"/>
      <c r="Z240" s="118"/>
      <c r="AA240" s="317"/>
      <c r="AB240" s="118"/>
      <c r="AC240" s="237">
        <f>X240+Z240+AB240</f>
        <v>0</v>
      </c>
      <c r="AD240" s="119"/>
      <c r="AE240" s="237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T240" s="122"/>
      <c r="AU240" s="122"/>
    </row>
    <row r="241" spans="1:47" s="365" customFormat="1" ht="18.75" customHeight="1">
      <c r="A241" s="359" t="s">
        <v>100</v>
      </c>
      <c r="B241" s="367">
        <v>201055</v>
      </c>
      <c r="C241" s="360" t="e">
        <f>(B241+'01'!#REF!+'01'!H134+ДДС!C237+ДДС!C239)-(ДДС!#REF!+ДДС!C153+ДДС!#REF!+ДДС!C184+ДДС!C188+ДДС!C217+ДДС!#REF!+ДДС!C236+ДДС!C240)-11-2000</f>
        <v>#REF!</v>
      </c>
      <c r="D241" s="368"/>
      <c r="E241" s="360" t="e">
        <f>(C241+#REF!+#REF!+ДДС!E237+ДДС!E239)-(ДДС!#REF!+ДДС!E153+ДДС!#REF!+ДДС!E184+ДДС!E188+ДДС!E217+ДДС!#REF!+ДДС!E236+ДДС!E240)</f>
        <v>#REF!</v>
      </c>
      <c r="F241" s="368"/>
      <c r="G241" s="360">
        <v>0</v>
      </c>
      <c r="H241" s="361">
        <f>G241</f>
        <v>0</v>
      </c>
      <c r="I241" s="368"/>
      <c r="J241" s="362"/>
      <c r="K241" s="368"/>
      <c r="L241" s="362"/>
      <c r="M241" s="368"/>
      <c r="N241" s="360"/>
      <c r="O241" s="361"/>
      <c r="P241" s="368"/>
      <c r="Q241" s="360"/>
      <c r="R241" s="368"/>
      <c r="S241" s="360"/>
      <c r="T241" s="368"/>
      <c r="U241" s="360"/>
      <c r="V241" s="361">
        <f>U241</f>
        <v>0</v>
      </c>
      <c r="W241" s="368"/>
      <c r="X241" s="360" t="e">
        <f>(#REF!+#REF!+ДДС!V241+ДДС!X237+ДДС!X239)-(ДДС!#REF!+ДДС!X153+ДДС!#REF!+ДДС!X184+ДДС!X188+ДДС!X217+ДДС!#REF!+ДДС!X236+ДДС!X240+X238)</f>
        <v>#REF!</v>
      </c>
      <c r="Y241" s="368"/>
      <c r="Z241" s="360" t="e">
        <f>(#REF!+#REF!+ДДС!X241+ДДС!Z237+ДДС!Z239)-(ДДС!#REF!+ДДС!Z153+ДДС!#REF!+ДДС!Z184+ДДС!Z188+ДДС!Z217+ДДС!#REF!+ДДС!Z236+ДДС!Z240+Z238)</f>
        <v>#REF!</v>
      </c>
      <c r="AA241" s="368"/>
      <c r="AB241" s="360" t="e">
        <f>(#REF!+#REF!+ДДС!Z241+ДДС!AB237+ДДС!AB239)-(ДДС!#REF!+ДДС!AB153+ДДС!#REF!+ДДС!AB184+ДДС!AB188+ДДС!AB217+ДДС!#REF!+ДДС!AB236+ДДС!AB240+AB238)</f>
        <v>#REF!</v>
      </c>
      <c r="AC241" s="361" t="e">
        <f>AB241</f>
        <v>#REF!</v>
      </c>
      <c r="AD241" s="363"/>
      <c r="AE241" s="361"/>
      <c r="AF241" s="364"/>
      <c r="AG241" s="364"/>
      <c r="AH241" s="364"/>
      <c r="AI241" s="364"/>
      <c r="AJ241" s="364"/>
      <c r="AK241" s="364"/>
      <c r="AL241" s="364"/>
      <c r="AM241" s="364"/>
      <c r="AN241" s="364"/>
      <c r="AO241" s="364"/>
      <c r="AP241" s="364"/>
      <c r="AT241" s="366"/>
      <c r="AU241" s="366"/>
    </row>
    <row r="242" spans="1:47" s="275" customFormat="1" ht="18.75" customHeight="1">
      <c r="A242" s="270" t="s">
        <v>101</v>
      </c>
      <c r="B242" s="351"/>
      <c r="C242" s="271"/>
      <c r="D242" s="318"/>
      <c r="E242" s="271">
        <v>3867691.59</v>
      </c>
      <c r="F242" s="318"/>
      <c r="G242" s="411" t="e">
        <f>#REF!-ДДС!G24-ДДС!G139-ДДС!G180-ДДС!G198-G239+E242+G240+336</f>
        <v>#REF!</v>
      </c>
      <c r="H242" s="272" t="e">
        <f>G242</f>
        <v>#REF!</v>
      </c>
      <c r="I242" s="351"/>
      <c r="J242" s="271"/>
      <c r="K242" s="318"/>
      <c r="L242" s="271"/>
      <c r="M242" s="318"/>
      <c r="N242" s="271"/>
      <c r="O242" s="272"/>
      <c r="P242" s="318"/>
      <c r="Q242" s="271"/>
      <c r="R242" s="318"/>
      <c r="S242" s="271"/>
      <c r="T242" s="318"/>
      <c r="U242" s="271"/>
      <c r="V242" s="272">
        <f>U242</f>
        <v>0</v>
      </c>
      <c r="W242" s="318"/>
      <c r="X242" s="271" t="e">
        <f>(#REF!+ДДС!V242+ДДС!X240)-(ДДС!X24+ДДС!X139+ДДС!X180+ДДС!X198+ДДС!X239)</f>
        <v>#REF!</v>
      </c>
      <c r="Y242" s="318"/>
      <c r="Z242" s="271" t="e">
        <f>(#REF!+ДДС!X242+ДДС!Z240)-(ДДС!Z24+ДДС!Z139+ДДС!Z180+ДДС!Z198+ДДС!Z239)+60480</f>
        <v>#REF!</v>
      </c>
      <c r="AA242" s="318"/>
      <c r="AB242" s="271" t="e">
        <f>(#REF!+ДДС!Z242+ДДС!AB240)-(ДДС!AB24+ДДС!AB139+ДДС!AB180+ДДС!AB198+ДДС!AB239)</f>
        <v>#REF!</v>
      </c>
      <c r="AC242" s="272" t="e">
        <f>AB242</f>
        <v>#REF!</v>
      </c>
      <c r="AD242" s="273"/>
      <c r="AE242" s="272"/>
      <c r="AF242" s="274"/>
      <c r="AG242" s="274"/>
      <c r="AH242" s="274"/>
      <c r="AI242" s="274"/>
      <c r="AJ242" s="274"/>
      <c r="AK242" s="274"/>
      <c r="AL242" s="274"/>
      <c r="AM242" s="274"/>
      <c r="AN242" s="274"/>
      <c r="AO242" s="274"/>
      <c r="AP242" s="274"/>
      <c r="AT242" s="276"/>
      <c r="AU242" s="276"/>
    </row>
    <row r="243" spans="1:47" s="275" customFormat="1" ht="18.75" customHeight="1">
      <c r="A243" s="270" t="s">
        <v>716</v>
      </c>
      <c r="B243" s="351"/>
      <c r="C243" s="271"/>
      <c r="D243" s="318"/>
      <c r="E243" s="271"/>
      <c r="F243" s="318"/>
      <c r="G243" s="411"/>
      <c r="H243" s="272"/>
      <c r="I243" s="351"/>
      <c r="J243" s="271"/>
      <c r="K243" s="318"/>
      <c r="L243" s="271"/>
      <c r="M243" s="318"/>
      <c r="N243" s="271"/>
      <c r="O243" s="272"/>
      <c r="P243" s="318"/>
      <c r="Q243" s="271"/>
      <c r="R243" s="318"/>
      <c r="S243" s="271"/>
      <c r="T243" s="318"/>
      <c r="U243" s="271"/>
      <c r="V243" s="272"/>
      <c r="W243" s="318"/>
      <c r="X243" s="271"/>
      <c r="Y243" s="318"/>
      <c r="Z243" s="271"/>
      <c r="AA243" s="318"/>
      <c r="AB243" s="271"/>
      <c r="AC243" s="272"/>
      <c r="AD243" s="273"/>
      <c r="AE243" s="272"/>
      <c r="AF243" s="274"/>
      <c r="AG243" s="274"/>
      <c r="AH243" s="274"/>
      <c r="AI243" s="274"/>
      <c r="AJ243" s="274"/>
      <c r="AK243" s="274"/>
      <c r="AL243" s="274"/>
      <c r="AM243" s="274"/>
      <c r="AN243" s="274"/>
      <c r="AO243" s="274"/>
      <c r="AP243" s="274"/>
      <c r="AT243" s="276"/>
      <c r="AU243" s="276"/>
    </row>
    <row r="244" ht="23.25">
      <c r="R244" s="319"/>
    </row>
    <row r="245" ht="23.25">
      <c r="R245" s="319"/>
    </row>
  </sheetData>
  <sheetProtection/>
  <mergeCells count="18">
    <mergeCell ref="T2:U2"/>
    <mergeCell ref="B2:C2"/>
    <mergeCell ref="K2:L2"/>
    <mergeCell ref="M2:N2"/>
    <mergeCell ref="H2:H3"/>
    <mergeCell ref="O2:O3"/>
    <mergeCell ref="D2:E2"/>
    <mergeCell ref="F2:G2"/>
    <mergeCell ref="AE2:AE3"/>
    <mergeCell ref="W2:X2"/>
    <mergeCell ref="Y2:Z2"/>
    <mergeCell ref="AA2:AB2"/>
    <mergeCell ref="AC2:AC3"/>
    <mergeCell ref="A1:AD1"/>
    <mergeCell ref="V2:V3"/>
    <mergeCell ref="P2:Q2"/>
    <mergeCell ref="R2:S2"/>
    <mergeCell ref="I2:J2"/>
  </mergeCells>
  <printOptions/>
  <pageMargins left="0.16" right="0.17" top="0.26" bottom="0.19" header="0.22" footer="0.16"/>
  <pageSetup horizontalDpi="180" verticalDpi="18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42"/>
  <sheetViews>
    <sheetView zoomScalePageLayoutView="0" workbookViewId="0" topLeftCell="A1">
      <pane xSplit="10" ySplit="1" topLeftCell="M2" activePane="bottomRight" state="frozen"/>
      <selection pane="topLeft" activeCell="A1" sqref="A1"/>
      <selection pane="topRight" activeCell="K1" sqref="K1"/>
      <selection pane="bottomLeft" activeCell="A3" sqref="A3"/>
      <selection pane="bottomRight" activeCell="X9" sqref="X9"/>
    </sheetView>
  </sheetViews>
  <sheetFormatPr defaultColWidth="9.140625" defaultRowHeight="15" outlineLevelCol="1"/>
  <cols>
    <col min="1" max="1" width="3.00390625" style="461" customWidth="1"/>
    <col min="2" max="2" width="20.140625" style="534" customWidth="1"/>
    <col min="3" max="3" width="13.140625" style="461" customWidth="1"/>
    <col min="4" max="4" width="7.28125" style="413" hidden="1" customWidth="1"/>
    <col min="5" max="5" width="9.00390625" style="413" customWidth="1" outlineLevel="1"/>
    <col min="6" max="6" width="12.7109375" style="413" customWidth="1" outlineLevel="1"/>
    <col min="7" max="7" width="13.8515625" style="413" customWidth="1" outlineLevel="1"/>
    <col min="8" max="9" width="13.421875" style="413" customWidth="1" outlineLevel="1"/>
    <col min="10" max="10" width="18.57421875" style="413" customWidth="1" outlineLevel="1"/>
    <col min="11" max="11" width="10.421875" style="462" bestFit="1" customWidth="1"/>
    <col min="12" max="12" width="10.7109375" style="462" bestFit="1" customWidth="1"/>
    <col min="13" max="13" width="10.140625" style="462" bestFit="1" customWidth="1"/>
    <col min="14" max="14" width="9.140625" style="462" customWidth="1"/>
    <col min="15" max="15" width="10.421875" style="462" customWidth="1"/>
    <col min="16" max="16" width="10.7109375" style="462" customWidth="1"/>
    <col min="17" max="17" width="8.8515625" style="491" customWidth="1"/>
    <col min="18" max="18" width="9.140625" style="462" customWidth="1"/>
    <col min="19" max="22" width="9.140625" style="413" customWidth="1"/>
    <col min="23" max="23" width="10.421875" style="413" bestFit="1" customWidth="1"/>
    <col min="24" max="24" width="10.7109375" style="413" bestFit="1" customWidth="1"/>
    <col min="25" max="25" width="10.57421875" style="413" bestFit="1" customWidth="1"/>
    <col min="26" max="27" width="9.28125" style="413" bestFit="1" customWidth="1"/>
    <col min="28" max="28" width="11.57421875" style="554" bestFit="1" customWidth="1"/>
    <col min="29" max="29" width="10.28125" style="554" bestFit="1" customWidth="1"/>
    <col min="30" max="30" width="9.140625" style="413" customWidth="1"/>
    <col min="31" max="31" width="10.57421875" style="413" bestFit="1" customWidth="1"/>
    <col min="32" max="34" width="9.140625" style="413" customWidth="1"/>
    <col min="35" max="35" width="10.421875" style="413" bestFit="1" customWidth="1"/>
    <col min="36" max="36" width="10.7109375" style="413" bestFit="1" customWidth="1"/>
    <col min="37" max="16384" width="9.140625" style="413" customWidth="1"/>
  </cols>
  <sheetData>
    <row r="1" spans="1:46" s="487" customFormat="1" ht="45.75" customHeight="1">
      <c r="A1" s="452" t="s">
        <v>187</v>
      </c>
      <c r="B1" s="453" t="s">
        <v>187</v>
      </c>
      <c r="C1" s="452" t="s">
        <v>188</v>
      </c>
      <c r="D1" s="486" t="s">
        <v>24</v>
      </c>
      <c r="E1" s="486" t="s">
        <v>189</v>
      </c>
      <c r="F1" s="486" t="s">
        <v>190</v>
      </c>
      <c r="G1" s="486" t="s">
        <v>191</v>
      </c>
      <c r="H1" s="486" t="s">
        <v>192</v>
      </c>
      <c r="I1" s="486" t="s">
        <v>193</v>
      </c>
      <c r="J1" s="486" t="s">
        <v>194</v>
      </c>
      <c r="K1" s="511">
        <v>40909</v>
      </c>
      <c r="L1" s="511">
        <v>40940</v>
      </c>
      <c r="M1" s="511">
        <v>40969</v>
      </c>
      <c r="N1" s="511">
        <v>41000</v>
      </c>
      <c r="O1" s="511">
        <v>41030</v>
      </c>
      <c r="P1" s="511">
        <v>41061</v>
      </c>
      <c r="Q1" s="511">
        <v>41091</v>
      </c>
      <c r="R1" s="511">
        <v>41122</v>
      </c>
      <c r="S1" s="511">
        <v>41153</v>
      </c>
      <c r="T1" s="511">
        <v>41183</v>
      </c>
      <c r="U1" s="511">
        <v>41214</v>
      </c>
      <c r="V1" s="511">
        <v>41244</v>
      </c>
      <c r="W1" s="511">
        <v>41275</v>
      </c>
      <c r="X1" s="511">
        <v>41306</v>
      </c>
      <c r="Y1" s="511">
        <v>41334</v>
      </c>
      <c r="Z1" s="511">
        <v>41365</v>
      </c>
      <c r="AA1" s="511">
        <v>41395</v>
      </c>
      <c r="AB1" s="511">
        <v>41426</v>
      </c>
      <c r="AC1" s="511">
        <v>41456</v>
      </c>
      <c r="AD1" s="511">
        <v>41487</v>
      </c>
      <c r="AE1" s="511">
        <v>41518</v>
      </c>
      <c r="AF1" s="511">
        <v>41548</v>
      </c>
      <c r="AG1" s="511">
        <v>41579</v>
      </c>
      <c r="AH1" s="511">
        <v>41609</v>
      </c>
      <c r="AI1" s="511">
        <v>41640</v>
      </c>
      <c r="AJ1" s="511">
        <v>41671</v>
      </c>
      <c r="AK1" s="511">
        <v>41699</v>
      </c>
      <c r="AL1" s="511">
        <v>41730</v>
      </c>
      <c r="AM1" s="511">
        <v>41760</v>
      </c>
      <c r="AN1" s="511">
        <v>41791</v>
      </c>
      <c r="AO1" s="511">
        <v>41821</v>
      </c>
      <c r="AP1" s="511">
        <v>41852</v>
      </c>
      <c r="AQ1" s="511">
        <v>41883</v>
      </c>
      <c r="AR1" s="511">
        <v>41913</v>
      </c>
      <c r="AS1" s="511">
        <v>41944</v>
      </c>
      <c r="AT1" s="511">
        <v>41974</v>
      </c>
    </row>
    <row r="2" spans="1:46" ht="75">
      <c r="A2" s="457" t="s">
        <v>176</v>
      </c>
      <c r="B2" s="527" t="s">
        <v>176</v>
      </c>
      <c r="C2" s="455" t="s">
        <v>176</v>
      </c>
      <c r="D2" s="455" t="s">
        <v>338</v>
      </c>
      <c r="E2" s="431" t="s">
        <v>216</v>
      </c>
      <c r="F2" s="431" t="s">
        <v>512</v>
      </c>
      <c r="G2" s="431">
        <v>3803258</v>
      </c>
      <c r="H2" s="431"/>
      <c r="I2" s="431" t="s">
        <v>545</v>
      </c>
      <c r="J2" s="431"/>
      <c r="K2" s="456"/>
      <c r="L2" s="456"/>
      <c r="M2" s="456"/>
      <c r="N2" s="456"/>
      <c r="O2" s="456"/>
      <c r="P2" s="456">
        <v>13250</v>
      </c>
      <c r="Q2" s="456"/>
      <c r="R2" s="456"/>
      <c r="S2" s="431"/>
      <c r="T2" s="431"/>
      <c r="U2" s="431"/>
      <c r="V2" s="431"/>
      <c r="W2" s="431"/>
      <c r="X2" s="431"/>
      <c r="Y2" s="431"/>
      <c r="Z2" s="431"/>
      <c r="AA2" s="431"/>
      <c r="AB2" s="546"/>
      <c r="AC2" s="546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</row>
    <row r="3" spans="1:46" s="495" customFormat="1" ht="30">
      <c r="A3" s="454" t="s">
        <v>367</v>
      </c>
      <c r="B3" s="454" t="s">
        <v>293</v>
      </c>
      <c r="C3" s="431"/>
      <c r="D3" s="431" t="s">
        <v>82</v>
      </c>
      <c r="E3" s="431" t="s">
        <v>392</v>
      </c>
      <c r="F3" s="431"/>
      <c r="G3" s="431"/>
      <c r="H3" s="431"/>
      <c r="I3" s="431"/>
      <c r="J3" s="431"/>
      <c r="K3" s="456"/>
      <c r="L3" s="456"/>
      <c r="M3" s="456"/>
      <c r="N3" s="456"/>
      <c r="O3" s="456"/>
      <c r="P3" s="456"/>
      <c r="Q3" s="488"/>
      <c r="R3" s="456"/>
      <c r="S3" s="431"/>
      <c r="T3" s="431"/>
      <c r="U3" s="431">
        <v>9708</v>
      </c>
      <c r="V3" s="431"/>
      <c r="W3" s="431"/>
      <c r="X3" s="431"/>
      <c r="Y3" s="431"/>
      <c r="Z3" s="431"/>
      <c r="AA3" s="431"/>
      <c r="AB3" s="546"/>
      <c r="AC3" s="546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</row>
    <row r="4" spans="1:46" ht="26.25">
      <c r="A4" s="454" t="s">
        <v>233</v>
      </c>
      <c r="B4" s="455" t="s">
        <v>316</v>
      </c>
      <c r="C4" s="455" t="s">
        <v>490</v>
      </c>
      <c r="D4" s="455" t="s">
        <v>231</v>
      </c>
      <c r="E4" s="455" t="s">
        <v>220</v>
      </c>
      <c r="F4" s="1" t="s">
        <v>488</v>
      </c>
      <c r="G4" s="485">
        <v>3815139</v>
      </c>
      <c r="H4" s="1">
        <v>87775546565</v>
      </c>
      <c r="I4" s="1" t="s">
        <v>489</v>
      </c>
      <c r="J4" s="431"/>
      <c r="K4" s="456"/>
      <c r="L4" s="456"/>
      <c r="M4" s="456"/>
      <c r="N4" s="456"/>
      <c r="O4" s="456"/>
      <c r="P4" s="456"/>
      <c r="Q4" s="456">
        <v>4872</v>
      </c>
      <c r="R4" s="456">
        <v>14616</v>
      </c>
      <c r="S4" s="431"/>
      <c r="T4" s="431"/>
      <c r="U4" s="431"/>
      <c r="V4" s="431"/>
      <c r="W4" s="431"/>
      <c r="X4" s="431"/>
      <c r="Y4" s="431"/>
      <c r="Z4" s="431"/>
      <c r="AA4" s="431"/>
      <c r="AB4" s="546"/>
      <c r="AC4" s="546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</row>
    <row r="5" spans="1:46" s="499" customFormat="1" ht="15">
      <c r="A5" s="454" t="s">
        <v>708</v>
      </c>
      <c r="B5" s="458" t="s">
        <v>701</v>
      </c>
      <c r="C5" s="431"/>
      <c r="D5" s="455"/>
      <c r="E5" s="431"/>
      <c r="F5" s="431"/>
      <c r="G5" s="431"/>
      <c r="H5" s="431"/>
      <c r="I5" s="431"/>
      <c r="J5" s="431"/>
      <c r="K5" s="456"/>
      <c r="L5" s="456"/>
      <c r="M5" s="456"/>
      <c r="N5" s="456"/>
      <c r="O5" s="456"/>
      <c r="P5" s="456"/>
      <c r="Q5" s="456"/>
      <c r="R5" s="456"/>
      <c r="S5" s="431"/>
      <c r="T5" s="431"/>
      <c r="U5" s="431"/>
      <c r="V5" s="431"/>
      <c r="W5" s="431"/>
      <c r="X5" s="431"/>
      <c r="Y5" s="431"/>
      <c r="Z5" s="431"/>
      <c r="AA5" s="431"/>
      <c r="AB5" s="546"/>
      <c r="AC5" s="546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</row>
    <row r="6" spans="1:46" ht="120">
      <c r="A6" s="569" t="s">
        <v>634</v>
      </c>
      <c r="B6" s="570" t="s">
        <v>625</v>
      </c>
      <c r="C6" s="570" t="s">
        <v>625</v>
      </c>
      <c r="D6" s="500"/>
      <c r="E6" s="500" t="s">
        <v>218</v>
      </c>
      <c r="F6" s="500" t="s">
        <v>664</v>
      </c>
      <c r="G6" s="500" t="s">
        <v>663</v>
      </c>
      <c r="H6" s="500" t="s">
        <v>662</v>
      </c>
      <c r="I6" s="500" t="s">
        <v>665</v>
      </c>
      <c r="J6" s="500" t="s">
        <v>666</v>
      </c>
      <c r="K6" s="512"/>
      <c r="L6" s="512"/>
      <c r="M6" s="512"/>
      <c r="N6" s="512"/>
      <c r="O6" s="512"/>
      <c r="P6" s="512"/>
      <c r="Q6" s="513"/>
      <c r="R6" s="512"/>
      <c r="S6" s="500"/>
      <c r="T6" s="500"/>
      <c r="U6" s="500"/>
      <c r="V6" s="500"/>
      <c r="W6" s="500"/>
      <c r="X6" s="500"/>
      <c r="Y6" s="500"/>
      <c r="Z6" s="500"/>
      <c r="AA6" s="500"/>
      <c r="AB6" s="551"/>
      <c r="AC6" s="551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</row>
    <row r="7" spans="1:46" s="495" customFormat="1" ht="15">
      <c r="A7" s="454" t="s">
        <v>158</v>
      </c>
      <c r="B7" s="455" t="s">
        <v>158</v>
      </c>
      <c r="C7" s="455" t="s">
        <v>158</v>
      </c>
      <c r="D7" s="455" t="s">
        <v>338</v>
      </c>
      <c r="E7" s="431" t="s">
        <v>218</v>
      </c>
      <c r="F7" s="431"/>
      <c r="G7" s="431"/>
      <c r="H7" s="431"/>
      <c r="I7" s="431"/>
      <c r="J7" s="431"/>
      <c r="K7" s="456"/>
      <c r="L7" s="456"/>
      <c r="M7" s="456"/>
      <c r="N7" s="456"/>
      <c r="O7" s="456">
        <v>776</v>
      </c>
      <c r="P7" s="456"/>
      <c r="Q7" s="456"/>
      <c r="R7" s="456"/>
      <c r="S7" s="431"/>
      <c r="T7" s="431"/>
      <c r="U7" s="431"/>
      <c r="V7" s="431"/>
      <c r="W7" s="431"/>
      <c r="X7" s="431"/>
      <c r="Y7" s="431"/>
      <c r="Z7" s="431"/>
      <c r="AA7" s="431"/>
      <c r="AB7" s="546"/>
      <c r="AC7" s="546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</row>
    <row r="8" spans="1:46" s="495" customFormat="1" ht="30" customHeight="1">
      <c r="A8" s="454" t="s">
        <v>383</v>
      </c>
      <c r="B8" s="458" t="s">
        <v>134</v>
      </c>
      <c r="C8" s="431"/>
      <c r="D8" s="455" t="s">
        <v>82</v>
      </c>
      <c r="E8" s="431" t="s">
        <v>508</v>
      </c>
      <c r="F8" s="431"/>
      <c r="G8" s="431"/>
      <c r="H8" s="431"/>
      <c r="I8" s="431"/>
      <c r="J8" s="431"/>
      <c r="K8" s="456"/>
      <c r="L8" s="456"/>
      <c r="M8" s="456"/>
      <c r="N8" s="456"/>
      <c r="O8" s="456">
        <v>4280</v>
      </c>
      <c r="P8" s="456"/>
      <c r="Q8" s="456"/>
      <c r="R8" s="456"/>
      <c r="S8" s="431"/>
      <c r="T8" s="431"/>
      <c r="U8" s="431"/>
      <c r="V8" s="431">
        <v>5500</v>
      </c>
      <c r="W8" s="431"/>
      <c r="X8" s="431"/>
      <c r="Y8" s="431"/>
      <c r="Z8" s="431"/>
      <c r="AA8" s="431"/>
      <c r="AB8" s="546"/>
      <c r="AC8" s="546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</row>
    <row r="9" spans="1:46" s="495" customFormat="1" ht="27" customHeight="1">
      <c r="A9" s="457" t="s">
        <v>275</v>
      </c>
      <c r="B9" s="527" t="s">
        <v>170</v>
      </c>
      <c r="C9" s="455" t="s">
        <v>170</v>
      </c>
      <c r="D9" s="455" t="s">
        <v>82</v>
      </c>
      <c r="E9" s="431" t="s">
        <v>508</v>
      </c>
      <c r="F9" s="431"/>
      <c r="G9" s="431"/>
      <c r="H9" s="431"/>
      <c r="I9" s="431"/>
      <c r="J9" s="431"/>
      <c r="K9" s="456"/>
      <c r="L9" s="456"/>
      <c r="M9" s="456"/>
      <c r="N9" s="456"/>
      <c r="O9" s="456"/>
      <c r="P9" s="456">
        <v>47750</v>
      </c>
      <c r="Q9" s="456"/>
      <c r="R9" s="456">
        <v>52520</v>
      </c>
      <c r="S9" s="431"/>
      <c r="T9" s="431">
        <v>40040</v>
      </c>
      <c r="U9" s="431"/>
      <c r="V9" s="431">
        <v>40500</v>
      </c>
      <c r="W9" s="502">
        <f>33250-X9</f>
        <v>31600</v>
      </c>
      <c r="X9" s="431">
        <v>1650</v>
      </c>
      <c r="Y9" s="431"/>
      <c r="Z9" s="431"/>
      <c r="AA9" s="431"/>
      <c r="AB9" s="546"/>
      <c r="AC9" s="546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</row>
    <row r="10" spans="1:46" s="467" customFormat="1" ht="45">
      <c r="A10" s="457" t="s">
        <v>177</v>
      </c>
      <c r="B10" s="527" t="s">
        <v>177</v>
      </c>
      <c r="C10" s="455" t="s">
        <v>196</v>
      </c>
      <c r="D10" s="455" t="s">
        <v>231</v>
      </c>
      <c r="E10" s="431" t="s">
        <v>220</v>
      </c>
      <c r="F10" s="431" t="s">
        <v>501</v>
      </c>
      <c r="G10" s="431">
        <v>2721103</v>
      </c>
      <c r="H10" s="431">
        <v>87078219598</v>
      </c>
      <c r="I10" s="431" t="s">
        <v>525</v>
      </c>
      <c r="J10" s="498" t="s">
        <v>580</v>
      </c>
      <c r="K10" s="456"/>
      <c r="L10" s="456"/>
      <c r="M10" s="456"/>
      <c r="N10" s="456"/>
      <c r="O10" s="456"/>
      <c r="P10" s="456">
        <v>7500</v>
      </c>
      <c r="Q10" s="456"/>
      <c r="R10" s="456"/>
      <c r="S10" s="431"/>
      <c r="T10" s="431"/>
      <c r="U10" s="431"/>
      <c r="V10" s="431"/>
      <c r="W10" s="431"/>
      <c r="X10" s="431"/>
      <c r="Y10" s="431"/>
      <c r="Z10" s="431"/>
      <c r="AA10" s="431"/>
      <c r="AB10" s="546"/>
      <c r="AC10" s="546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</row>
    <row r="11" spans="1:46" ht="15">
      <c r="A11" s="454" t="s">
        <v>709</v>
      </c>
      <c r="B11" s="458" t="s">
        <v>119</v>
      </c>
      <c r="C11" s="431"/>
      <c r="D11" s="455"/>
      <c r="E11" s="431"/>
      <c r="F11" s="431"/>
      <c r="G11" s="431"/>
      <c r="H11" s="431"/>
      <c r="I11" s="431"/>
      <c r="J11" s="431"/>
      <c r="K11" s="456"/>
      <c r="L11" s="456"/>
      <c r="M11" s="456"/>
      <c r="N11" s="456"/>
      <c r="O11" s="456"/>
      <c r="P11" s="456"/>
      <c r="Q11" s="456"/>
      <c r="R11" s="456"/>
      <c r="S11" s="431"/>
      <c r="T11" s="431"/>
      <c r="U11" s="431"/>
      <c r="V11" s="431"/>
      <c r="W11" s="431"/>
      <c r="X11" s="431"/>
      <c r="Y11" s="431"/>
      <c r="Z11" s="431"/>
      <c r="AA11" s="431"/>
      <c r="AB11" s="546"/>
      <c r="AC11" s="546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</row>
    <row r="12" spans="1:46" s="517" customFormat="1" ht="26.25">
      <c r="A12" s="454" t="s">
        <v>276</v>
      </c>
      <c r="B12" s="458" t="s">
        <v>255</v>
      </c>
      <c r="C12" s="458" t="s">
        <v>255</v>
      </c>
      <c r="D12" s="455" t="s">
        <v>231</v>
      </c>
      <c r="E12" s="431"/>
      <c r="F12" s="431"/>
      <c r="G12" s="431"/>
      <c r="H12" s="431"/>
      <c r="I12" s="431"/>
      <c r="J12" s="431"/>
      <c r="K12" s="456"/>
      <c r="L12" s="456"/>
      <c r="M12" s="456"/>
      <c r="N12" s="456"/>
      <c r="O12" s="456"/>
      <c r="P12" s="456"/>
      <c r="Q12" s="488"/>
      <c r="R12" s="456">
        <v>287559</v>
      </c>
      <c r="S12" s="431"/>
      <c r="T12" s="431">
        <v>42000</v>
      </c>
      <c r="U12" s="431"/>
      <c r="V12" s="431"/>
      <c r="W12" s="431">
        <v>25840</v>
      </c>
      <c r="X12" s="431"/>
      <c r="Y12" s="431"/>
      <c r="Z12" s="431"/>
      <c r="AA12" s="431"/>
      <c r="AB12" s="546"/>
      <c r="AC12" s="546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</row>
    <row r="13" spans="1:46" s="477" customFormat="1" ht="45">
      <c r="A13" s="388" t="s">
        <v>510</v>
      </c>
      <c r="B13" s="388" t="s">
        <v>510</v>
      </c>
      <c r="C13" s="502" t="s">
        <v>510</v>
      </c>
      <c r="D13" s="376" t="s">
        <v>338</v>
      </c>
      <c r="E13" s="502" t="s">
        <v>219</v>
      </c>
      <c r="F13" s="502" t="s">
        <v>537</v>
      </c>
      <c r="G13" s="502" t="s">
        <v>544</v>
      </c>
      <c r="H13" s="502">
        <v>87017606437</v>
      </c>
      <c r="I13" s="502" t="s">
        <v>541</v>
      </c>
      <c r="J13" s="515" t="s">
        <v>540</v>
      </c>
      <c r="K13" s="514"/>
      <c r="L13" s="514"/>
      <c r="M13" s="514"/>
      <c r="N13" s="516"/>
      <c r="O13" s="514"/>
      <c r="P13" s="502"/>
      <c r="Q13" s="502"/>
      <c r="R13" s="502"/>
      <c r="S13" s="502"/>
      <c r="T13" s="502"/>
      <c r="U13" s="502"/>
      <c r="V13" s="502"/>
      <c r="W13" s="502">
        <v>60000</v>
      </c>
      <c r="X13" s="502"/>
      <c r="Y13" s="502"/>
      <c r="Z13" s="502"/>
      <c r="AA13" s="431"/>
      <c r="AB13" s="549"/>
      <c r="AC13" s="549"/>
      <c r="AD13" s="502"/>
      <c r="AE13" s="502"/>
      <c r="AF13" s="502"/>
      <c r="AG13" s="502"/>
      <c r="AH13" s="502"/>
      <c r="AI13" s="502"/>
      <c r="AJ13" s="502"/>
      <c r="AK13" s="502"/>
      <c r="AL13" s="502"/>
      <c r="AM13" s="502"/>
      <c r="AN13" s="502"/>
      <c r="AO13" s="502"/>
      <c r="AP13" s="502"/>
      <c r="AQ13" s="502"/>
      <c r="AR13" s="502"/>
      <c r="AS13" s="502"/>
      <c r="AT13" s="502"/>
    </row>
    <row r="14" spans="1:46" s="467" customFormat="1" ht="30">
      <c r="A14" s="457" t="s">
        <v>277</v>
      </c>
      <c r="B14" s="527" t="s">
        <v>121</v>
      </c>
      <c r="C14" s="431" t="s">
        <v>121</v>
      </c>
      <c r="D14" s="455" t="s">
        <v>231</v>
      </c>
      <c r="E14" s="431" t="s">
        <v>221</v>
      </c>
      <c r="F14" s="431"/>
      <c r="G14" s="431">
        <v>2273721</v>
      </c>
      <c r="H14" s="431"/>
      <c r="I14" s="431" t="s">
        <v>551</v>
      </c>
      <c r="J14" s="431"/>
      <c r="K14" s="456"/>
      <c r="L14" s="456">
        <v>25629</v>
      </c>
      <c r="M14" s="456">
        <v>10200</v>
      </c>
      <c r="N14" s="456"/>
      <c r="O14" s="456">
        <v>7500</v>
      </c>
      <c r="P14" s="456">
        <v>16290</v>
      </c>
      <c r="Q14" s="456"/>
      <c r="R14" s="456">
        <v>9050</v>
      </c>
      <c r="S14" s="431">
        <v>30490</v>
      </c>
      <c r="T14" s="431">
        <v>11850</v>
      </c>
      <c r="U14" s="431"/>
      <c r="V14" s="431"/>
      <c r="W14" s="431"/>
      <c r="X14" s="431"/>
      <c r="Y14" s="431"/>
      <c r="Z14" s="431"/>
      <c r="AA14" s="431"/>
      <c r="AB14" s="546"/>
      <c r="AC14" s="546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</row>
    <row r="15" spans="1:46" s="499" customFormat="1" ht="39">
      <c r="A15" s="457" t="s">
        <v>178</v>
      </c>
      <c r="B15" s="527" t="s">
        <v>178</v>
      </c>
      <c r="C15" s="431" t="s">
        <v>178</v>
      </c>
      <c r="D15" s="455" t="s">
        <v>231</v>
      </c>
      <c r="E15" s="431" t="s">
        <v>221</v>
      </c>
      <c r="F15" s="7" t="s">
        <v>503</v>
      </c>
      <c r="G15" s="485"/>
      <c r="H15" s="1"/>
      <c r="I15" s="1" t="s">
        <v>502</v>
      </c>
      <c r="J15" s="431"/>
      <c r="K15" s="456"/>
      <c r="L15" s="456"/>
      <c r="M15" s="456"/>
      <c r="N15" s="456"/>
      <c r="O15" s="456"/>
      <c r="P15" s="456">
        <v>57205</v>
      </c>
      <c r="Q15" s="456"/>
      <c r="R15" s="456"/>
      <c r="S15" s="431"/>
      <c r="T15" s="431"/>
      <c r="U15" s="431"/>
      <c r="V15" s="431"/>
      <c r="W15" s="431"/>
      <c r="X15" s="431"/>
      <c r="Y15" s="431"/>
      <c r="Z15" s="431"/>
      <c r="AA15" s="431"/>
      <c r="AB15" s="546"/>
      <c r="AC15" s="546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</row>
    <row r="16" spans="1:46" s="495" customFormat="1" ht="30">
      <c r="A16" s="457" t="s">
        <v>278</v>
      </c>
      <c r="B16" s="527" t="s">
        <v>254</v>
      </c>
      <c r="C16" s="431" t="s">
        <v>254</v>
      </c>
      <c r="D16" s="455" t="s">
        <v>231</v>
      </c>
      <c r="E16" s="431"/>
      <c r="F16" s="431"/>
      <c r="G16" s="431"/>
      <c r="H16" s="431"/>
      <c r="I16" s="431"/>
      <c r="J16" s="431"/>
      <c r="K16" s="456"/>
      <c r="L16" s="456"/>
      <c r="M16" s="456"/>
      <c r="N16" s="456"/>
      <c r="O16" s="456"/>
      <c r="P16" s="456"/>
      <c r="Q16" s="456"/>
      <c r="R16" s="456">
        <v>2750</v>
      </c>
      <c r="S16" s="431"/>
      <c r="T16" s="431"/>
      <c r="U16" s="431">
        <v>1650</v>
      </c>
      <c r="V16" s="431"/>
      <c r="W16" s="431"/>
      <c r="X16" s="431"/>
      <c r="Y16" s="431"/>
      <c r="Z16" s="431"/>
      <c r="AA16" s="431"/>
      <c r="AB16" s="546"/>
      <c r="AC16" s="546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</row>
    <row r="17" spans="1:46" ht="15">
      <c r="A17" s="428" t="s">
        <v>469</v>
      </c>
      <c r="B17" s="529" t="s">
        <v>429</v>
      </c>
      <c r="C17" s="502"/>
      <c r="D17" s="502" t="s">
        <v>338</v>
      </c>
      <c r="E17" s="502"/>
      <c r="F17" s="502"/>
      <c r="G17" s="502"/>
      <c r="H17" s="502"/>
      <c r="I17" s="502"/>
      <c r="J17" s="502"/>
      <c r="K17" s="514"/>
      <c r="L17" s="514"/>
      <c r="M17" s="514"/>
      <c r="N17" s="514"/>
      <c r="O17" s="514"/>
      <c r="P17" s="514"/>
      <c r="Q17" s="516"/>
      <c r="R17" s="514"/>
      <c r="S17" s="502"/>
      <c r="T17" s="502"/>
      <c r="U17" s="502"/>
      <c r="V17" s="502"/>
      <c r="W17" s="502">
        <v>31650</v>
      </c>
      <c r="X17" s="502"/>
      <c r="Y17" s="502"/>
      <c r="Z17" s="502"/>
      <c r="AA17" s="431"/>
      <c r="AB17" s="549"/>
      <c r="AC17" s="549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</row>
    <row r="18" spans="1:46" ht="60">
      <c r="A18" s="463" t="s">
        <v>234</v>
      </c>
      <c r="B18" s="518" t="s">
        <v>163</v>
      </c>
      <c r="C18" s="464" t="s">
        <v>163</v>
      </c>
      <c r="D18" s="464" t="s">
        <v>231</v>
      </c>
      <c r="E18" s="465" t="s">
        <v>508</v>
      </c>
      <c r="F18" s="465"/>
      <c r="G18" s="465"/>
      <c r="H18" s="465"/>
      <c r="I18" s="465"/>
      <c r="J18" s="465"/>
      <c r="K18" s="466"/>
      <c r="L18" s="466"/>
      <c r="M18" s="466"/>
      <c r="N18" s="466"/>
      <c r="O18" s="466">
        <v>5036</v>
      </c>
      <c r="P18" s="466">
        <v>62108</v>
      </c>
      <c r="Q18" s="466">
        <v>10166</v>
      </c>
      <c r="R18" s="466"/>
      <c r="S18" s="465"/>
      <c r="T18" s="465"/>
      <c r="U18" s="465"/>
      <c r="V18" s="465"/>
      <c r="W18" s="465"/>
      <c r="X18" s="465"/>
      <c r="Y18" s="465"/>
      <c r="Z18" s="465"/>
      <c r="AA18" s="465"/>
      <c r="AB18" s="550"/>
      <c r="AC18" s="550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</row>
    <row r="19" spans="1:46" ht="15">
      <c r="A19" s="454" t="s">
        <v>710</v>
      </c>
      <c r="B19" s="458" t="s">
        <v>702</v>
      </c>
      <c r="C19" s="431"/>
      <c r="D19" s="455"/>
      <c r="E19" s="431"/>
      <c r="F19" s="431"/>
      <c r="G19" s="431"/>
      <c r="H19" s="431"/>
      <c r="I19" s="431"/>
      <c r="J19" s="431"/>
      <c r="K19" s="456"/>
      <c r="L19" s="456"/>
      <c r="M19" s="456"/>
      <c r="N19" s="456"/>
      <c r="O19" s="456"/>
      <c r="P19" s="456"/>
      <c r="Q19" s="456"/>
      <c r="R19" s="456"/>
      <c r="S19" s="431"/>
      <c r="T19" s="431"/>
      <c r="U19" s="431"/>
      <c r="V19" s="431"/>
      <c r="W19" s="431"/>
      <c r="X19" s="431"/>
      <c r="Y19" s="431"/>
      <c r="Z19" s="431"/>
      <c r="AA19" s="431"/>
      <c r="AB19" s="546"/>
      <c r="AC19" s="546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</row>
    <row r="20" spans="1:46" s="495" customFormat="1" ht="15">
      <c r="A20" s="471" t="s">
        <v>470</v>
      </c>
      <c r="B20" s="471" t="s">
        <v>362</v>
      </c>
      <c r="C20" s="471" t="s">
        <v>576</v>
      </c>
      <c r="D20" s="492" t="s">
        <v>338</v>
      </c>
      <c r="E20" s="500" t="s">
        <v>393</v>
      </c>
      <c r="F20" s="500"/>
      <c r="G20" s="500" t="s">
        <v>560</v>
      </c>
      <c r="H20" s="500"/>
      <c r="I20" s="500" t="s">
        <v>525</v>
      </c>
      <c r="J20" s="492"/>
      <c r="K20" s="512"/>
      <c r="L20" s="512"/>
      <c r="M20" s="512"/>
      <c r="N20" s="512"/>
      <c r="O20" s="512"/>
      <c r="P20" s="512"/>
      <c r="Q20" s="513"/>
      <c r="R20" s="512"/>
      <c r="S20" s="500"/>
      <c r="T20" s="500"/>
      <c r="U20" s="500">
        <v>5440</v>
      </c>
      <c r="V20" s="500">
        <v>3540</v>
      </c>
      <c r="W20" s="500">
        <v>4720</v>
      </c>
      <c r="X20" s="500">
        <v>3540</v>
      </c>
      <c r="Y20" s="500"/>
      <c r="Z20" s="500"/>
      <c r="AA20" s="431"/>
      <c r="AB20" s="551"/>
      <c r="AC20" s="551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</row>
    <row r="21" spans="1:46" s="495" customFormat="1" ht="30">
      <c r="A21" s="457" t="s">
        <v>279</v>
      </c>
      <c r="B21" s="527" t="s">
        <v>230</v>
      </c>
      <c r="C21" s="431" t="s">
        <v>230</v>
      </c>
      <c r="D21" s="455" t="s">
        <v>231</v>
      </c>
      <c r="E21" s="431" t="s">
        <v>220</v>
      </c>
      <c r="F21" s="431" t="s">
        <v>504</v>
      </c>
      <c r="G21" s="431"/>
      <c r="H21" s="431">
        <v>87781425579</v>
      </c>
      <c r="I21" s="431" t="s">
        <v>505</v>
      </c>
      <c r="J21" s="431"/>
      <c r="K21" s="456"/>
      <c r="L21" s="456"/>
      <c r="M21" s="456"/>
      <c r="N21" s="456"/>
      <c r="O21" s="456"/>
      <c r="P21" s="456"/>
      <c r="Q21" s="488"/>
      <c r="R21" s="456">
        <v>4872</v>
      </c>
      <c r="S21" s="431"/>
      <c r="T21" s="431"/>
      <c r="U21" s="431"/>
      <c r="V21" s="431"/>
      <c r="W21" s="431"/>
      <c r="X21" s="431"/>
      <c r="Y21" s="431"/>
      <c r="Z21" s="431"/>
      <c r="AA21" s="431"/>
      <c r="AB21" s="546"/>
      <c r="AC21" s="546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1"/>
      <c r="AQ21" s="431"/>
      <c r="AR21" s="431"/>
      <c r="AS21" s="431"/>
      <c r="AT21" s="431"/>
    </row>
    <row r="22" spans="1:46" s="495" customFormat="1" ht="30">
      <c r="A22" s="454" t="s">
        <v>320</v>
      </c>
      <c r="B22" s="459" t="s">
        <v>303</v>
      </c>
      <c r="C22" s="459" t="s">
        <v>303</v>
      </c>
      <c r="D22" s="455" t="s">
        <v>338</v>
      </c>
      <c r="E22" s="431" t="s">
        <v>218</v>
      </c>
      <c r="F22" s="431" t="s">
        <v>559</v>
      </c>
      <c r="G22" s="431">
        <v>2736918</v>
      </c>
      <c r="H22" s="431"/>
      <c r="I22" s="431" t="s">
        <v>377</v>
      </c>
      <c r="J22" s="431"/>
      <c r="K22" s="456"/>
      <c r="L22" s="456"/>
      <c r="M22" s="456"/>
      <c r="N22" s="456"/>
      <c r="O22" s="456"/>
      <c r="P22" s="456"/>
      <c r="Q22" s="456"/>
      <c r="R22" s="456"/>
      <c r="S22" s="431">
        <v>7200</v>
      </c>
      <c r="T22" s="431"/>
      <c r="U22" s="431"/>
      <c r="V22" s="431"/>
      <c r="W22" s="431"/>
      <c r="X22" s="431"/>
      <c r="Y22" s="431"/>
      <c r="Z22" s="431"/>
      <c r="AA22" s="431"/>
      <c r="AB22" s="546"/>
      <c r="AC22" s="546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1"/>
      <c r="AQ22" s="431"/>
      <c r="AR22" s="431"/>
      <c r="AS22" s="431"/>
      <c r="AT22" s="431"/>
    </row>
    <row r="23" spans="1:46" s="495" customFormat="1" ht="15">
      <c r="A23" s="457" t="s">
        <v>321</v>
      </c>
      <c r="B23" s="528" t="s">
        <v>298</v>
      </c>
      <c r="C23" s="431"/>
      <c r="D23" s="455" t="s">
        <v>338</v>
      </c>
      <c r="E23" s="412" t="s">
        <v>291</v>
      </c>
      <c r="F23" s="431"/>
      <c r="G23" s="431"/>
      <c r="H23" s="431"/>
      <c r="I23" s="431"/>
      <c r="J23" s="431"/>
      <c r="K23" s="456"/>
      <c r="L23" s="456"/>
      <c r="M23" s="456"/>
      <c r="N23" s="456"/>
      <c r="O23" s="456"/>
      <c r="P23" s="456"/>
      <c r="Q23" s="488"/>
      <c r="R23" s="456"/>
      <c r="S23" s="431">
        <v>72100</v>
      </c>
      <c r="T23" s="431"/>
      <c r="U23" s="431"/>
      <c r="V23" s="431"/>
      <c r="W23" s="431"/>
      <c r="X23" s="431"/>
      <c r="Y23" s="431"/>
      <c r="Z23" s="431"/>
      <c r="AA23" s="431"/>
      <c r="AB23" s="546"/>
      <c r="AC23" s="546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1"/>
      <c r="AQ23" s="431"/>
      <c r="AR23" s="431"/>
      <c r="AS23" s="431"/>
      <c r="AT23" s="431"/>
    </row>
    <row r="24" spans="1:46" s="495" customFormat="1" ht="30">
      <c r="A24" s="457" t="s">
        <v>322</v>
      </c>
      <c r="B24" s="528" t="s">
        <v>300</v>
      </c>
      <c r="C24" s="412" t="s">
        <v>491</v>
      </c>
      <c r="D24" s="455" t="s">
        <v>338</v>
      </c>
      <c r="E24" s="412" t="s">
        <v>216</v>
      </c>
      <c r="F24" s="431"/>
      <c r="G24" s="431"/>
      <c r="H24" s="431"/>
      <c r="I24" s="431"/>
      <c r="J24" s="431"/>
      <c r="K24" s="456"/>
      <c r="L24" s="456"/>
      <c r="M24" s="456"/>
      <c r="N24" s="456"/>
      <c r="O24" s="456"/>
      <c r="P24" s="456"/>
      <c r="Q24" s="488"/>
      <c r="R24" s="456"/>
      <c r="S24" s="431">
        <v>1778</v>
      </c>
      <c r="T24" s="431"/>
      <c r="U24" s="431"/>
      <c r="V24" s="431"/>
      <c r="W24" s="431"/>
      <c r="X24" s="431"/>
      <c r="Y24" s="431"/>
      <c r="Z24" s="431"/>
      <c r="AA24" s="431"/>
      <c r="AB24" s="546"/>
      <c r="AC24" s="546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</row>
    <row r="25" spans="1:46" s="467" customFormat="1" ht="39">
      <c r="A25" s="454" t="s">
        <v>591</v>
      </c>
      <c r="B25" s="458" t="s">
        <v>359</v>
      </c>
      <c r="C25" s="458"/>
      <c r="D25" s="455"/>
      <c r="E25" s="412" t="s">
        <v>221</v>
      </c>
      <c r="F25" s="1" t="s">
        <v>507</v>
      </c>
      <c r="G25" s="485">
        <v>3217070</v>
      </c>
      <c r="H25" s="1" t="s">
        <v>543</v>
      </c>
      <c r="I25" s="1" t="s">
        <v>539</v>
      </c>
      <c r="J25" s="498" t="s">
        <v>538</v>
      </c>
      <c r="K25" s="456"/>
      <c r="L25" s="456"/>
      <c r="M25" s="456"/>
      <c r="N25" s="456"/>
      <c r="O25" s="456"/>
      <c r="P25" s="456"/>
      <c r="Q25" s="456"/>
      <c r="R25" s="456"/>
      <c r="S25" s="431"/>
      <c r="T25" s="431"/>
      <c r="U25" s="431"/>
      <c r="V25" s="431"/>
      <c r="W25" s="431"/>
      <c r="X25" s="431"/>
      <c r="Y25" s="431"/>
      <c r="Z25" s="431"/>
      <c r="AA25" s="431"/>
      <c r="AB25" s="546"/>
      <c r="AC25" s="546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  <c r="AT25" s="431"/>
    </row>
    <row r="26" spans="1:46" s="467" customFormat="1" ht="30">
      <c r="A26" s="482" t="s">
        <v>655</v>
      </c>
      <c r="B26" s="555" t="s">
        <v>646</v>
      </c>
      <c r="C26" s="482"/>
      <c r="D26" s="483"/>
      <c r="E26" s="483"/>
      <c r="F26" s="483"/>
      <c r="G26" s="483">
        <v>2501225</v>
      </c>
      <c r="H26" s="483">
        <v>87012218815</v>
      </c>
      <c r="I26" s="483" t="s">
        <v>667</v>
      </c>
      <c r="J26" s="483"/>
      <c r="K26" s="484"/>
      <c r="L26" s="484"/>
      <c r="M26" s="484"/>
      <c r="N26" s="484"/>
      <c r="O26" s="484"/>
      <c r="P26" s="484"/>
      <c r="Q26" s="489"/>
      <c r="R26" s="484"/>
      <c r="S26" s="483"/>
      <c r="T26" s="483"/>
      <c r="U26" s="483"/>
      <c r="V26" s="483"/>
      <c r="W26" s="483"/>
      <c r="X26" s="483"/>
      <c r="Y26" s="483"/>
      <c r="Z26" s="483"/>
      <c r="AA26" s="483"/>
      <c r="AB26" s="556"/>
      <c r="AC26" s="546"/>
      <c r="AD26" s="483"/>
      <c r="AE26" s="483"/>
      <c r="AF26" s="483"/>
      <c r="AG26" s="483"/>
      <c r="AH26" s="483"/>
      <c r="AI26" s="483"/>
      <c r="AJ26" s="483"/>
      <c r="AK26" s="483"/>
      <c r="AL26" s="483"/>
      <c r="AM26" s="483"/>
      <c r="AN26" s="483"/>
      <c r="AO26" s="483"/>
      <c r="AP26" s="483"/>
      <c r="AQ26" s="483"/>
      <c r="AR26" s="483"/>
      <c r="AS26" s="483"/>
      <c r="AT26" s="483"/>
    </row>
    <row r="27" spans="1:46" s="467" customFormat="1" ht="30">
      <c r="A27" s="454" t="s">
        <v>342</v>
      </c>
      <c r="B27" s="455" t="s">
        <v>315</v>
      </c>
      <c r="C27" s="431" t="s">
        <v>87</v>
      </c>
      <c r="D27" s="455" t="s">
        <v>231</v>
      </c>
      <c r="E27" s="431" t="s">
        <v>220</v>
      </c>
      <c r="F27" s="431" t="s">
        <v>506</v>
      </c>
      <c r="G27" s="431">
        <v>2734788</v>
      </c>
      <c r="H27" s="431">
        <v>87019912708</v>
      </c>
      <c r="I27" s="431" t="s">
        <v>586</v>
      </c>
      <c r="J27" s="498" t="s">
        <v>577</v>
      </c>
      <c r="K27" s="456"/>
      <c r="L27" s="456"/>
      <c r="M27" s="456"/>
      <c r="N27" s="456"/>
      <c r="O27" s="456"/>
      <c r="P27" s="456"/>
      <c r="Q27" s="488"/>
      <c r="R27" s="456">
        <v>1800</v>
      </c>
      <c r="S27" s="431"/>
      <c r="T27" s="431">
        <v>7275</v>
      </c>
      <c r="U27" s="431"/>
      <c r="V27" s="431"/>
      <c r="W27" s="431"/>
      <c r="X27" s="431"/>
      <c r="Y27" s="431"/>
      <c r="Z27" s="431"/>
      <c r="AA27" s="431"/>
      <c r="AB27" s="546"/>
      <c r="AC27" s="546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1"/>
      <c r="AQ27" s="431"/>
      <c r="AR27" s="431"/>
      <c r="AS27" s="431"/>
      <c r="AT27" s="431"/>
    </row>
    <row r="28" spans="1:46" s="467" customFormat="1" ht="15">
      <c r="A28" s="454" t="s">
        <v>323</v>
      </c>
      <c r="B28" s="528" t="s">
        <v>299</v>
      </c>
      <c r="C28" s="431"/>
      <c r="D28" s="455" t="s">
        <v>82</v>
      </c>
      <c r="E28" s="431"/>
      <c r="F28" s="431"/>
      <c r="G28" s="431"/>
      <c r="H28" s="431"/>
      <c r="I28" s="431"/>
      <c r="J28" s="431"/>
      <c r="K28" s="456"/>
      <c r="L28" s="456"/>
      <c r="M28" s="456"/>
      <c r="N28" s="456"/>
      <c r="O28" s="456"/>
      <c r="P28" s="456"/>
      <c r="Q28" s="488"/>
      <c r="R28" s="456"/>
      <c r="S28" s="431">
        <v>710000</v>
      </c>
      <c r="T28" s="431"/>
      <c r="U28" s="431">
        <v>411000</v>
      </c>
      <c r="V28" s="431">
        <v>555000</v>
      </c>
      <c r="W28" s="431"/>
      <c r="X28" s="431"/>
      <c r="Y28" s="431"/>
      <c r="Z28" s="431"/>
      <c r="AA28" s="431"/>
      <c r="AB28" s="546"/>
      <c r="AC28" s="546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1"/>
    </row>
    <row r="29" spans="1:46" s="467" customFormat="1" ht="60">
      <c r="A29" s="524" t="s">
        <v>592</v>
      </c>
      <c r="B29" s="571" t="s">
        <v>592</v>
      </c>
      <c r="C29" s="524" t="s">
        <v>71</v>
      </c>
      <c r="D29" s="465"/>
      <c r="E29" s="465" t="s">
        <v>670</v>
      </c>
      <c r="F29" s="465"/>
      <c r="G29" s="465"/>
      <c r="H29" s="465"/>
      <c r="I29" s="465"/>
      <c r="J29" s="465"/>
      <c r="K29" s="466"/>
      <c r="L29" s="466"/>
      <c r="M29" s="466"/>
      <c r="N29" s="466"/>
      <c r="O29" s="466"/>
      <c r="P29" s="466"/>
      <c r="Q29" s="519"/>
      <c r="R29" s="466"/>
      <c r="S29" s="465"/>
      <c r="T29" s="465"/>
      <c r="U29" s="465"/>
      <c r="V29" s="465"/>
      <c r="W29" s="465"/>
      <c r="X29" s="465"/>
      <c r="Y29" s="465"/>
      <c r="Z29" s="465"/>
      <c r="AA29" s="465"/>
      <c r="AB29" s="550"/>
      <c r="AC29" s="550"/>
      <c r="AD29" s="465"/>
      <c r="AE29" s="465"/>
      <c r="AF29" s="465"/>
      <c r="AG29" s="465"/>
      <c r="AH29" s="465"/>
      <c r="AI29" s="465"/>
      <c r="AJ29" s="465"/>
      <c r="AK29" s="465"/>
      <c r="AL29" s="465"/>
      <c r="AM29" s="465"/>
      <c r="AN29" s="465"/>
      <c r="AO29" s="465"/>
      <c r="AP29" s="465"/>
      <c r="AQ29" s="465"/>
      <c r="AR29" s="465"/>
      <c r="AS29" s="465"/>
      <c r="AT29" s="465"/>
    </row>
    <row r="30" spans="1:46" s="467" customFormat="1" ht="45">
      <c r="A30" s="428" t="s">
        <v>567</v>
      </c>
      <c r="B30" s="388" t="s">
        <v>568</v>
      </c>
      <c r="C30" s="502" t="s">
        <v>601</v>
      </c>
      <c r="D30" s="376"/>
      <c r="E30" s="502" t="s">
        <v>216</v>
      </c>
      <c r="F30" s="502" t="s">
        <v>574</v>
      </c>
      <c r="G30" s="502" t="s">
        <v>575</v>
      </c>
      <c r="H30" s="502">
        <v>87017139550</v>
      </c>
      <c r="I30" s="502" t="s">
        <v>551</v>
      </c>
      <c r="J30" s="514"/>
      <c r="K30" s="514"/>
      <c r="L30" s="514"/>
      <c r="M30" s="514"/>
      <c r="N30" s="516"/>
      <c r="O30" s="514"/>
      <c r="P30" s="502"/>
      <c r="Q30" s="502"/>
      <c r="R30" s="502"/>
      <c r="S30" s="502"/>
      <c r="T30" s="502"/>
      <c r="U30" s="502"/>
      <c r="V30" s="502"/>
      <c r="W30" s="502">
        <v>2400</v>
      </c>
      <c r="X30" s="502"/>
      <c r="Y30" s="502"/>
      <c r="Z30" s="502"/>
      <c r="AA30" s="502"/>
      <c r="AB30" s="549"/>
      <c r="AC30" s="549"/>
      <c r="AD30" s="502"/>
      <c r="AE30" s="502"/>
      <c r="AF30" s="502"/>
      <c r="AG30" s="502"/>
      <c r="AH30" s="502"/>
      <c r="AI30" s="502"/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  <c r="AT30" s="502"/>
    </row>
    <row r="31" spans="1:46" s="467" customFormat="1" ht="45">
      <c r="A31" s="454" t="s">
        <v>610</v>
      </c>
      <c r="B31" s="458" t="s">
        <v>615</v>
      </c>
      <c r="C31" s="458" t="s">
        <v>597</v>
      </c>
      <c r="D31" s="455"/>
      <c r="E31" s="431" t="s">
        <v>220</v>
      </c>
      <c r="F31" s="431"/>
      <c r="G31" s="431"/>
      <c r="H31" s="431" t="s">
        <v>616</v>
      </c>
      <c r="I31" s="431" t="s">
        <v>617</v>
      </c>
      <c r="J31" s="431"/>
      <c r="K31" s="456"/>
      <c r="L31" s="456"/>
      <c r="M31" s="456"/>
      <c r="N31" s="456"/>
      <c r="O31" s="456"/>
      <c r="P31" s="456"/>
      <c r="Q31" s="456"/>
      <c r="R31" s="456"/>
      <c r="S31" s="431"/>
      <c r="T31" s="431"/>
      <c r="U31" s="431"/>
      <c r="V31" s="431"/>
      <c r="W31" s="431"/>
      <c r="X31" s="431"/>
      <c r="Y31" s="431"/>
      <c r="Z31" s="431"/>
      <c r="AA31" s="431"/>
      <c r="AB31" s="546"/>
      <c r="AC31" s="546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1"/>
      <c r="AO31" s="431"/>
      <c r="AP31" s="431"/>
      <c r="AQ31" s="431"/>
      <c r="AR31" s="431"/>
      <c r="AS31" s="431"/>
      <c r="AT31" s="431"/>
    </row>
    <row r="32" spans="1:46" s="517" customFormat="1" ht="15">
      <c r="A32" s="463" t="s">
        <v>593</v>
      </c>
      <c r="B32" s="532" t="s">
        <v>225</v>
      </c>
      <c r="C32" s="465" t="s">
        <v>317</v>
      </c>
      <c r="D32" s="464" t="s">
        <v>82</v>
      </c>
      <c r="E32" s="465"/>
      <c r="F32" s="465"/>
      <c r="G32" s="465"/>
      <c r="H32" s="465"/>
      <c r="I32" s="465"/>
      <c r="J32" s="465"/>
      <c r="K32" s="466"/>
      <c r="L32" s="466"/>
      <c r="M32" s="466"/>
      <c r="N32" s="466"/>
      <c r="O32" s="466"/>
      <c r="P32" s="466"/>
      <c r="Q32" s="466">
        <v>35000</v>
      </c>
      <c r="R32" s="466"/>
      <c r="S32" s="465"/>
      <c r="T32" s="465"/>
      <c r="U32" s="465"/>
      <c r="V32" s="465">
        <v>17500</v>
      </c>
      <c r="W32" s="465">
        <v>17500</v>
      </c>
      <c r="X32" s="465"/>
      <c r="Y32" s="465"/>
      <c r="Z32" s="465"/>
      <c r="AA32" s="465"/>
      <c r="AB32" s="550"/>
      <c r="AC32" s="550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</row>
    <row r="33" spans="1:46" s="517" customFormat="1" ht="75">
      <c r="A33" s="524" t="s">
        <v>656</v>
      </c>
      <c r="B33" s="571" t="s">
        <v>643</v>
      </c>
      <c r="C33" s="571" t="s">
        <v>643</v>
      </c>
      <c r="D33" s="465"/>
      <c r="E33" s="465" t="s">
        <v>218</v>
      </c>
      <c r="F33" s="465" t="s">
        <v>668</v>
      </c>
      <c r="G33" s="465" t="s">
        <v>669</v>
      </c>
      <c r="H33" s="465">
        <v>87715074483</v>
      </c>
      <c r="I33" s="465" t="s">
        <v>94</v>
      </c>
      <c r="J33" s="465"/>
      <c r="K33" s="466"/>
      <c r="L33" s="466"/>
      <c r="M33" s="466"/>
      <c r="N33" s="466"/>
      <c r="O33" s="466"/>
      <c r="P33" s="466"/>
      <c r="Q33" s="519"/>
      <c r="R33" s="466"/>
      <c r="S33" s="465"/>
      <c r="T33" s="465"/>
      <c r="U33" s="465"/>
      <c r="V33" s="465"/>
      <c r="W33" s="465"/>
      <c r="X33" s="465"/>
      <c r="Y33" s="465"/>
      <c r="Z33" s="465"/>
      <c r="AA33" s="465"/>
      <c r="AB33" s="550"/>
      <c r="AC33" s="550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</row>
    <row r="34" spans="1:46" s="517" customFormat="1" ht="30">
      <c r="A34" s="524" t="s">
        <v>594</v>
      </c>
      <c r="B34" s="571" t="s">
        <v>566</v>
      </c>
      <c r="C34" s="524"/>
      <c r="D34" s="465"/>
      <c r="E34" s="465"/>
      <c r="F34" s="465"/>
      <c r="G34" s="465"/>
      <c r="H34" s="465"/>
      <c r="I34" s="465"/>
      <c r="J34" s="465"/>
      <c r="K34" s="466"/>
      <c r="L34" s="466"/>
      <c r="M34" s="466"/>
      <c r="N34" s="466"/>
      <c r="O34" s="466"/>
      <c r="P34" s="466"/>
      <c r="Q34" s="519"/>
      <c r="R34" s="466"/>
      <c r="S34" s="465"/>
      <c r="T34" s="465"/>
      <c r="U34" s="465"/>
      <c r="V34" s="465"/>
      <c r="W34" s="465"/>
      <c r="X34" s="465"/>
      <c r="Y34" s="465"/>
      <c r="Z34" s="465"/>
      <c r="AA34" s="465"/>
      <c r="AB34" s="550"/>
      <c r="AC34" s="550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</row>
    <row r="35" spans="1:46" s="467" customFormat="1" ht="30">
      <c r="A35" s="463" t="s">
        <v>384</v>
      </c>
      <c r="B35" s="464" t="s">
        <v>374</v>
      </c>
      <c r="C35" s="465" t="s">
        <v>391</v>
      </c>
      <c r="D35" s="464" t="s">
        <v>339</v>
      </c>
      <c r="E35" s="465"/>
      <c r="F35" s="465"/>
      <c r="G35" s="465"/>
      <c r="H35" s="465"/>
      <c r="I35" s="465"/>
      <c r="J35" s="465"/>
      <c r="K35" s="466"/>
      <c r="L35" s="466"/>
      <c r="M35" s="466"/>
      <c r="N35" s="466"/>
      <c r="O35" s="466"/>
      <c r="P35" s="466"/>
      <c r="Q35" s="466"/>
      <c r="R35" s="466">
        <v>30000</v>
      </c>
      <c r="S35" s="465">
        <v>19000</v>
      </c>
      <c r="T35" s="465"/>
      <c r="U35" s="465"/>
      <c r="V35" s="465">
        <v>28000</v>
      </c>
      <c r="W35" s="465"/>
      <c r="X35" s="465"/>
      <c r="Y35" s="465"/>
      <c r="Z35" s="465"/>
      <c r="AA35" s="431"/>
      <c r="AB35" s="550"/>
      <c r="AC35" s="550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</row>
    <row r="36" spans="1:46" s="467" customFormat="1" ht="15">
      <c r="A36" s="463" t="s">
        <v>236</v>
      </c>
      <c r="B36" s="532" t="s">
        <v>236</v>
      </c>
      <c r="C36" s="518" t="s">
        <v>214</v>
      </c>
      <c r="D36" s="464" t="s">
        <v>339</v>
      </c>
      <c r="E36" s="465"/>
      <c r="F36" s="465"/>
      <c r="G36" s="465"/>
      <c r="H36" s="465"/>
      <c r="I36" s="465"/>
      <c r="J36" s="465"/>
      <c r="K36" s="466"/>
      <c r="L36" s="466"/>
      <c r="M36" s="466"/>
      <c r="N36" s="466"/>
      <c r="O36" s="466"/>
      <c r="P36" s="466"/>
      <c r="Q36" s="466">
        <v>60000</v>
      </c>
      <c r="R36" s="466"/>
      <c r="S36" s="465"/>
      <c r="T36" s="465"/>
      <c r="U36" s="465"/>
      <c r="V36" s="465"/>
      <c r="W36" s="465"/>
      <c r="X36" s="465"/>
      <c r="Y36" s="465"/>
      <c r="Z36" s="465"/>
      <c r="AA36" s="431"/>
      <c r="AB36" s="550"/>
      <c r="AC36" s="550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</row>
    <row r="37" spans="1:46" s="467" customFormat="1" ht="26.25">
      <c r="A37" s="463" t="s">
        <v>237</v>
      </c>
      <c r="B37" s="532" t="s">
        <v>318</v>
      </c>
      <c r="C37" s="464" t="s">
        <v>210</v>
      </c>
      <c r="D37" s="464" t="s">
        <v>339</v>
      </c>
      <c r="E37" s="465"/>
      <c r="F37" s="465"/>
      <c r="G37" s="465"/>
      <c r="H37" s="465"/>
      <c r="I37" s="465"/>
      <c r="J37" s="465"/>
      <c r="K37" s="466"/>
      <c r="L37" s="466"/>
      <c r="M37" s="466"/>
      <c r="N37" s="466"/>
      <c r="O37" s="466"/>
      <c r="P37" s="466"/>
      <c r="Q37" s="466">
        <v>17325</v>
      </c>
      <c r="R37" s="466"/>
      <c r="S37" s="465"/>
      <c r="T37" s="465"/>
      <c r="U37" s="465"/>
      <c r="V37" s="465"/>
      <c r="W37" s="465"/>
      <c r="X37" s="465"/>
      <c r="Y37" s="465"/>
      <c r="Z37" s="465"/>
      <c r="AA37" s="431"/>
      <c r="AB37" s="550"/>
      <c r="AC37" s="550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</row>
    <row r="38" spans="1:46" s="467" customFormat="1" ht="39">
      <c r="A38" s="463" t="s">
        <v>173</v>
      </c>
      <c r="B38" s="532" t="s">
        <v>173</v>
      </c>
      <c r="C38" s="464" t="s">
        <v>173</v>
      </c>
      <c r="D38" s="464" t="s">
        <v>339</v>
      </c>
      <c r="E38" s="465" t="s">
        <v>217</v>
      </c>
      <c r="F38" s="465"/>
      <c r="G38" s="465"/>
      <c r="H38" s="465"/>
      <c r="I38" s="465"/>
      <c r="J38" s="465"/>
      <c r="K38" s="466"/>
      <c r="L38" s="466"/>
      <c r="M38" s="466"/>
      <c r="N38" s="466"/>
      <c r="O38" s="466"/>
      <c r="P38" s="466">
        <v>19000</v>
      </c>
      <c r="Q38" s="466"/>
      <c r="R38" s="466"/>
      <c r="S38" s="465"/>
      <c r="T38" s="465"/>
      <c r="U38" s="465"/>
      <c r="V38" s="465"/>
      <c r="W38" s="465"/>
      <c r="X38" s="465"/>
      <c r="Y38" s="465"/>
      <c r="Z38" s="465"/>
      <c r="AA38" s="431"/>
      <c r="AB38" s="550"/>
      <c r="AC38" s="550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</row>
    <row r="39" spans="1:46" s="481" customFormat="1" ht="15">
      <c r="A39" s="463" t="s">
        <v>165</v>
      </c>
      <c r="B39" s="532" t="s">
        <v>165</v>
      </c>
      <c r="C39" s="465"/>
      <c r="D39" s="464" t="s">
        <v>339</v>
      </c>
      <c r="E39" s="465"/>
      <c r="F39" s="465"/>
      <c r="G39" s="465"/>
      <c r="H39" s="465"/>
      <c r="I39" s="465"/>
      <c r="J39" s="465"/>
      <c r="K39" s="466"/>
      <c r="L39" s="466"/>
      <c r="M39" s="466"/>
      <c r="N39" s="466"/>
      <c r="O39" s="466">
        <v>19000</v>
      </c>
      <c r="P39" s="466"/>
      <c r="Q39" s="466"/>
      <c r="R39" s="466"/>
      <c r="S39" s="465"/>
      <c r="T39" s="465"/>
      <c r="U39" s="465"/>
      <c r="V39" s="465"/>
      <c r="W39" s="465"/>
      <c r="X39" s="465"/>
      <c r="Y39" s="465"/>
      <c r="Z39" s="465"/>
      <c r="AA39" s="431"/>
      <c r="AB39" s="550"/>
      <c r="AC39" s="550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</row>
    <row r="40" spans="1:46" s="481" customFormat="1" ht="15">
      <c r="A40" s="463" t="s">
        <v>238</v>
      </c>
      <c r="B40" s="532" t="s">
        <v>238</v>
      </c>
      <c r="C40" s="518" t="s">
        <v>208</v>
      </c>
      <c r="D40" s="464" t="s">
        <v>339</v>
      </c>
      <c r="E40" s="465"/>
      <c r="F40" s="465"/>
      <c r="G40" s="465"/>
      <c r="H40" s="465"/>
      <c r="I40" s="465"/>
      <c r="J40" s="465"/>
      <c r="K40" s="466"/>
      <c r="L40" s="466"/>
      <c r="M40" s="466"/>
      <c r="N40" s="466"/>
      <c r="O40" s="466"/>
      <c r="P40" s="466"/>
      <c r="Q40" s="466">
        <v>30000</v>
      </c>
      <c r="R40" s="466"/>
      <c r="S40" s="465"/>
      <c r="T40" s="465"/>
      <c r="U40" s="465"/>
      <c r="V40" s="465"/>
      <c r="W40" s="465"/>
      <c r="X40" s="465"/>
      <c r="Y40" s="465"/>
      <c r="Z40" s="465"/>
      <c r="AA40" s="431"/>
      <c r="AB40" s="550"/>
      <c r="AC40" s="550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</row>
    <row r="41" spans="1:46" s="517" customFormat="1" ht="30">
      <c r="A41" s="463" t="s">
        <v>166</v>
      </c>
      <c r="B41" s="532" t="s">
        <v>166</v>
      </c>
      <c r="C41" s="465"/>
      <c r="D41" s="464" t="s">
        <v>339</v>
      </c>
      <c r="E41" s="465" t="s">
        <v>217</v>
      </c>
      <c r="F41" s="465"/>
      <c r="G41" s="465"/>
      <c r="H41" s="465"/>
      <c r="I41" s="465"/>
      <c r="J41" s="465"/>
      <c r="K41" s="466"/>
      <c r="L41" s="466"/>
      <c r="M41" s="466"/>
      <c r="N41" s="466"/>
      <c r="O41" s="466"/>
      <c r="P41" s="466">
        <v>29000</v>
      </c>
      <c r="Q41" s="466"/>
      <c r="R41" s="466"/>
      <c r="S41" s="465"/>
      <c r="T41" s="465"/>
      <c r="U41" s="465"/>
      <c r="V41" s="465"/>
      <c r="W41" s="465"/>
      <c r="X41" s="465"/>
      <c r="Y41" s="465"/>
      <c r="Z41" s="465"/>
      <c r="AA41" s="431"/>
      <c r="AB41" s="550"/>
      <c r="AC41" s="550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</row>
    <row r="42" spans="1:46" s="481" customFormat="1" ht="15">
      <c r="A42" s="524" t="s">
        <v>471</v>
      </c>
      <c r="B42" s="532" t="s">
        <v>404</v>
      </c>
      <c r="C42" s="465"/>
      <c r="D42" s="465" t="s">
        <v>96</v>
      </c>
      <c r="E42" s="465"/>
      <c r="F42" s="465"/>
      <c r="G42" s="465"/>
      <c r="H42" s="465"/>
      <c r="I42" s="465"/>
      <c r="J42" s="465"/>
      <c r="K42" s="466"/>
      <c r="L42" s="466"/>
      <c r="M42" s="466"/>
      <c r="N42" s="466"/>
      <c r="O42" s="466"/>
      <c r="P42" s="466"/>
      <c r="Q42" s="519"/>
      <c r="R42" s="466"/>
      <c r="S42" s="465"/>
      <c r="T42" s="465"/>
      <c r="U42" s="465"/>
      <c r="V42" s="465"/>
      <c r="W42" s="465">
        <v>2000</v>
      </c>
      <c r="X42" s="465"/>
      <c r="Y42" s="465"/>
      <c r="Z42" s="465"/>
      <c r="AA42" s="431"/>
      <c r="AB42" s="550"/>
      <c r="AC42" s="550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</row>
    <row r="43" spans="1:46" s="481" customFormat="1" ht="15">
      <c r="A43" s="463" t="s">
        <v>385</v>
      </c>
      <c r="B43" s="532" t="s">
        <v>215</v>
      </c>
      <c r="C43" s="518" t="s">
        <v>215</v>
      </c>
      <c r="D43" s="464" t="s">
        <v>339</v>
      </c>
      <c r="E43" s="465"/>
      <c r="F43" s="465"/>
      <c r="G43" s="465"/>
      <c r="H43" s="465"/>
      <c r="I43" s="465"/>
      <c r="J43" s="465"/>
      <c r="K43" s="466"/>
      <c r="L43" s="466"/>
      <c r="M43" s="466"/>
      <c r="N43" s="466"/>
      <c r="O43" s="466"/>
      <c r="P43" s="466"/>
      <c r="Q43" s="466"/>
      <c r="R43" s="466"/>
      <c r="S43" s="465"/>
      <c r="T43" s="465"/>
      <c r="U43" s="465"/>
      <c r="V43" s="465">
        <v>28000</v>
      </c>
      <c r="W43" s="465"/>
      <c r="X43" s="465"/>
      <c r="Y43" s="465"/>
      <c r="Z43" s="465"/>
      <c r="AA43" s="431"/>
      <c r="AB43" s="550"/>
      <c r="AC43" s="550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</row>
    <row r="44" spans="1:46" s="481" customFormat="1" ht="15">
      <c r="A44" s="524" t="s">
        <v>472</v>
      </c>
      <c r="B44" s="532" t="s">
        <v>407</v>
      </c>
      <c r="C44" s="465"/>
      <c r="D44" s="465" t="s">
        <v>96</v>
      </c>
      <c r="E44" s="465"/>
      <c r="F44" s="465"/>
      <c r="G44" s="465"/>
      <c r="H44" s="465"/>
      <c r="I44" s="465"/>
      <c r="J44" s="465"/>
      <c r="K44" s="466"/>
      <c r="L44" s="466"/>
      <c r="M44" s="466"/>
      <c r="N44" s="466"/>
      <c r="O44" s="466"/>
      <c r="P44" s="466"/>
      <c r="Q44" s="519"/>
      <c r="R44" s="466"/>
      <c r="S44" s="465"/>
      <c r="T44" s="465"/>
      <c r="U44" s="465"/>
      <c r="V44" s="465"/>
      <c r="W44" s="465">
        <v>2600</v>
      </c>
      <c r="X44" s="465"/>
      <c r="Y44" s="465"/>
      <c r="Z44" s="465"/>
      <c r="AA44" s="431"/>
      <c r="AB44" s="550"/>
      <c r="AC44" s="550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</row>
    <row r="45" spans="1:46" s="467" customFormat="1" ht="39">
      <c r="A45" s="463" t="s">
        <v>239</v>
      </c>
      <c r="B45" s="532" t="s">
        <v>239</v>
      </c>
      <c r="C45" s="464" t="s">
        <v>135</v>
      </c>
      <c r="D45" s="464" t="s">
        <v>339</v>
      </c>
      <c r="E45" s="465" t="s">
        <v>217</v>
      </c>
      <c r="F45" s="465"/>
      <c r="G45" s="465"/>
      <c r="H45" s="465"/>
      <c r="I45" s="465"/>
      <c r="J45" s="465"/>
      <c r="K45" s="466"/>
      <c r="L45" s="466"/>
      <c r="M45" s="466"/>
      <c r="N45" s="466"/>
      <c r="O45" s="466"/>
      <c r="P45" s="466">
        <v>49000</v>
      </c>
      <c r="Q45" s="466">
        <v>68000</v>
      </c>
      <c r="R45" s="466">
        <v>700</v>
      </c>
      <c r="S45" s="465"/>
      <c r="T45" s="465"/>
      <c r="U45" s="465"/>
      <c r="V45" s="465"/>
      <c r="W45" s="465"/>
      <c r="X45" s="465"/>
      <c r="Y45" s="465"/>
      <c r="Z45" s="465"/>
      <c r="AA45" s="431"/>
      <c r="AB45" s="550"/>
      <c r="AC45" s="550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</row>
    <row r="46" spans="1:46" s="481" customFormat="1" ht="60">
      <c r="A46" s="454" t="s">
        <v>240</v>
      </c>
      <c r="B46" s="528" t="s">
        <v>150</v>
      </c>
      <c r="C46" s="455" t="s">
        <v>150</v>
      </c>
      <c r="D46" s="455" t="s">
        <v>338</v>
      </c>
      <c r="E46" s="431" t="s">
        <v>218</v>
      </c>
      <c r="F46" s="431" t="s">
        <v>514</v>
      </c>
      <c r="G46" s="431">
        <v>2582704</v>
      </c>
      <c r="H46" s="431">
        <v>87017347291</v>
      </c>
      <c r="I46" s="431"/>
      <c r="J46" s="431"/>
      <c r="K46" s="456"/>
      <c r="L46" s="456"/>
      <c r="M46" s="456"/>
      <c r="N46" s="456"/>
      <c r="O46" s="456">
        <v>5970</v>
      </c>
      <c r="P46" s="456"/>
      <c r="Q46" s="456">
        <v>7510</v>
      </c>
      <c r="R46" s="456">
        <v>3800</v>
      </c>
      <c r="S46" s="431"/>
      <c r="T46" s="431"/>
      <c r="U46" s="431"/>
      <c r="V46" s="431"/>
      <c r="W46" s="431"/>
      <c r="X46" s="431"/>
      <c r="Y46" s="431"/>
      <c r="Z46" s="431"/>
      <c r="AA46" s="431"/>
      <c r="AB46" s="546"/>
      <c r="AC46" s="546"/>
      <c r="AD46" s="431"/>
      <c r="AE46" s="431"/>
      <c r="AF46" s="431"/>
      <c r="AG46" s="431"/>
      <c r="AH46" s="431"/>
      <c r="AI46" s="431"/>
      <c r="AJ46" s="431"/>
      <c r="AK46" s="431"/>
      <c r="AL46" s="431"/>
      <c r="AM46" s="431"/>
      <c r="AN46" s="431"/>
      <c r="AO46" s="431"/>
      <c r="AP46" s="431"/>
      <c r="AQ46" s="431"/>
      <c r="AR46" s="431"/>
      <c r="AS46" s="431"/>
      <c r="AT46" s="431"/>
    </row>
    <row r="47" spans="1:46" s="481" customFormat="1" ht="30">
      <c r="A47" s="463" t="s">
        <v>387</v>
      </c>
      <c r="B47" s="532" t="s">
        <v>376</v>
      </c>
      <c r="C47" s="464" t="s">
        <v>376</v>
      </c>
      <c r="D47" s="464" t="s">
        <v>84</v>
      </c>
      <c r="E47" s="465" t="s">
        <v>392</v>
      </c>
      <c r="F47" s="465"/>
      <c r="G47" s="465"/>
      <c r="H47" s="465"/>
      <c r="I47" s="465"/>
      <c r="J47" s="465"/>
      <c r="K47" s="466"/>
      <c r="L47" s="466"/>
      <c r="M47" s="466"/>
      <c r="N47" s="466"/>
      <c r="O47" s="466"/>
      <c r="P47" s="466"/>
      <c r="Q47" s="466"/>
      <c r="R47" s="466"/>
      <c r="S47" s="465"/>
      <c r="T47" s="465"/>
      <c r="U47" s="465"/>
      <c r="V47" s="465">
        <v>40140</v>
      </c>
      <c r="W47" s="465">
        <v>28800</v>
      </c>
      <c r="X47" s="465"/>
      <c r="Y47" s="465"/>
      <c r="Z47" s="465"/>
      <c r="AA47" s="465"/>
      <c r="AB47" s="550"/>
      <c r="AC47" s="550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</row>
    <row r="48" spans="1:46" s="481" customFormat="1" ht="30">
      <c r="A48" s="463" t="s">
        <v>569</v>
      </c>
      <c r="B48" s="463" t="s">
        <v>466</v>
      </c>
      <c r="C48" s="464"/>
      <c r="D48" s="464"/>
      <c r="E48" s="465" t="s">
        <v>195</v>
      </c>
      <c r="F48" s="465"/>
      <c r="G48" s="465"/>
      <c r="H48" s="465"/>
      <c r="I48" s="465"/>
      <c r="J48" s="465"/>
      <c r="K48" s="466"/>
      <c r="L48" s="466"/>
      <c r="M48" s="466"/>
      <c r="N48" s="466"/>
      <c r="O48" s="466"/>
      <c r="P48" s="466"/>
      <c r="Q48" s="466"/>
      <c r="R48" s="466"/>
      <c r="S48" s="465"/>
      <c r="T48" s="465"/>
      <c r="U48" s="465"/>
      <c r="V48" s="465"/>
      <c r="W48" s="465"/>
      <c r="X48" s="465"/>
      <c r="Y48" s="465"/>
      <c r="Z48" s="465"/>
      <c r="AA48" s="431"/>
      <c r="AB48" s="550"/>
      <c r="AC48" s="550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</row>
    <row r="49" spans="1:46" s="481" customFormat="1" ht="15">
      <c r="A49" s="524" t="s">
        <v>482</v>
      </c>
      <c r="B49" s="532" t="s">
        <v>465</v>
      </c>
      <c r="C49" s="465"/>
      <c r="D49" s="465" t="s">
        <v>96</v>
      </c>
      <c r="E49" s="465"/>
      <c r="F49" s="465"/>
      <c r="G49" s="465"/>
      <c r="H49" s="465"/>
      <c r="I49" s="465"/>
      <c r="J49" s="465"/>
      <c r="K49" s="466"/>
      <c r="L49" s="466"/>
      <c r="M49" s="466"/>
      <c r="N49" s="466"/>
      <c r="O49" s="466"/>
      <c r="P49" s="466"/>
      <c r="Q49" s="519"/>
      <c r="R49" s="466"/>
      <c r="S49" s="465"/>
      <c r="T49" s="465"/>
      <c r="U49" s="465"/>
      <c r="V49" s="465"/>
      <c r="W49" s="465"/>
      <c r="X49" s="465">
        <v>18500</v>
      </c>
      <c r="Y49" s="465"/>
      <c r="Z49" s="465"/>
      <c r="AA49" s="431"/>
      <c r="AB49" s="550"/>
      <c r="AC49" s="550"/>
      <c r="AD49" s="465"/>
      <c r="AE49" s="465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</row>
    <row r="50" spans="1:46" s="517" customFormat="1" ht="30">
      <c r="A50" s="463" t="s">
        <v>570</v>
      </c>
      <c r="B50" s="463" t="s">
        <v>570</v>
      </c>
      <c r="C50" s="464"/>
      <c r="D50" s="464"/>
      <c r="E50" s="465" t="s">
        <v>195</v>
      </c>
      <c r="F50" s="465"/>
      <c r="G50" s="465"/>
      <c r="H50" s="465"/>
      <c r="I50" s="465"/>
      <c r="J50" s="465"/>
      <c r="K50" s="466"/>
      <c r="L50" s="466"/>
      <c r="M50" s="466"/>
      <c r="N50" s="466"/>
      <c r="O50" s="466"/>
      <c r="P50" s="466"/>
      <c r="Q50" s="466"/>
      <c r="R50" s="466"/>
      <c r="S50" s="465"/>
      <c r="T50" s="465"/>
      <c r="U50" s="465"/>
      <c r="V50" s="465"/>
      <c r="W50" s="465"/>
      <c r="X50" s="465"/>
      <c r="Y50" s="465"/>
      <c r="Z50" s="465"/>
      <c r="AA50" s="431"/>
      <c r="AB50" s="550"/>
      <c r="AC50" s="550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5"/>
      <c r="AT50" s="465"/>
    </row>
    <row r="51" spans="1:46" s="517" customFormat="1" ht="15">
      <c r="A51" s="524" t="s">
        <v>483</v>
      </c>
      <c r="B51" s="532" t="s">
        <v>464</v>
      </c>
      <c r="C51" s="465"/>
      <c r="D51" s="465" t="s">
        <v>96</v>
      </c>
      <c r="E51" s="465"/>
      <c r="F51" s="465"/>
      <c r="G51" s="465"/>
      <c r="H51" s="465"/>
      <c r="I51" s="465"/>
      <c r="J51" s="465"/>
      <c r="K51" s="466"/>
      <c r="L51" s="466"/>
      <c r="M51" s="466"/>
      <c r="N51" s="466"/>
      <c r="O51" s="466"/>
      <c r="P51" s="466"/>
      <c r="Q51" s="519"/>
      <c r="R51" s="466"/>
      <c r="S51" s="465"/>
      <c r="T51" s="465"/>
      <c r="U51" s="465"/>
      <c r="V51" s="465"/>
      <c r="W51" s="465"/>
      <c r="X51" s="465">
        <v>18500</v>
      </c>
      <c r="Y51" s="465"/>
      <c r="Z51" s="465"/>
      <c r="AA51" s="431"/>
      <c r="AB51" s="550"/>
      <c r="AC51" s="550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5"/>
      <c r="AT51" s="465"/>
    </row>
    <row r="52" spans="1:46" s="467" customFormat="1" ht="30">
      <c r="A52" s="463" t="s">
        <v>343</v>
      </c>
      <c r="B52" s="463" t="s">
        <v>306</v>
      </c>
      <c r="C52" s="464"/>
      <c r="D52" s="464" t="s">
        <v>83</v>
      </c>
      <c r="E52" s="465" t="s">
        <v>195</v>
      </c>
      <c r="F52" s="465"/>
      <c r="G52" s="465"/>
      <c r="H52" s="465"/>
      <c r="I52" s="465"/>
      <c r="J52" s="465"/>
      <c r="K52" s="466"/>
      <c r="L52" s="466"/>
      <c r="M52" s="466"/>
      <c r="N52" s="466"/>
      <c r="O52" s="466"/>
      <c r="P52" s="466"/>
      <c r="Q52" s="466"/>
      <c r="R52" s="466"/>
      <c r="S52" s="465"/>
      <c r="T52" s="465">
        <v>400</v>
      </c>
      <c r="U52" s="465"/>
      <c r="V52" s="465"/>
      <c r="W52" s="465"/>
      <c r="X52" s="465"/>
      <c r="Y52" s="465"/>
      <c r="Z52" s="465"/>
      <c r="AA52" s="431"/>
      <c r="AB52" s="550"/>
      <c r="AC52" s="550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  <c r="AQ52" s="465"/>
      <c r="AR52" s="465"/>
      <c r="AS52" s="465"/>
      <c r="AT52" s="465"/>
    </row>
    <row r="53" spans="1:46" s="517" customFormat="1" ht="33.75" customHeight="1">
      <c r="A53" s="454" t="s">
        <v>635</v>
      </c>
      <c r="B53" s="458" t="s">
        <v>633</v>
      </c>
      <c r="C53" s="431"/>
      <c r="D53" s="455" t="s">
        <v>84</v>
      </c>
      <c r="E53" s="431" t="s">
        <v>392</v>
      </c>
      <c r="F53" s="431"/>
      <c r="G53" s="431"/>
      <c r="H53" s="431"/>
      <c r="I53" s="431"/>
      <c r="J53" s="431"/>
      <c r="K53" s="456"/>
      <c r="L53" s="509"/>
      <c r="M53" s="509"/>
      <c r="N53" s="456"/>
      <c r="O53" s="456"/>
      <c r="P53" s="456"/>
      <c r="Q53" s="456">
        <v>105000</v>
      </c>
      <c r="R53" s="456"/>
      <c r="S53" s="431"/>
      <c r="T53" s="431">
        <v>284500</v>
      </c>
      <c r="U53" s="431"/>
      <c r="V53" s="431"/>
      <c r="W53" s="431"/>
      <c r="X53" s="431"/>
      <c r="Y53" s="431"/>
      <c r="Z53" s="431"/>
      <c r="AA53" s="431"/>
      <c r="AB53" s="546"/>
      <c r="AC53" s="546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</row>
    <row r="54" spans="1:46" s="467" customFormat="1" ht="30">
      <c r="A54" s="524" t="s">
        <v>595</v>
      </c>
      <c r="B54" s="571" t="s">
        <v>590</v>
      </c>
      <c r="C54" s="524"/>
      <c r="D54" s="465"/>
      <c r="E54" s="465"/>
      <c r="F54" s="465"/>
      <c r="G54" s="465"/>
      <c r="H54" s="465"/>
      <c r="I54" s="465"/>
      <c r="J54" s="465"/>
      <c r="K54" s="466"/>
      <c r="L54" s="466"/>
      <c r="M54" s="466"/>
      <c r="N54" s="466"/>
      <c r="O54" s="466"/>
      <c r="P54" s="466"/>
      <c r="Q54" s="519"/>
      <c r="R54" s="466"/>
      <c r="S54" s="465"/>
      <c r="T54" s="465"/>
      <c r="U54" s="465"/>
      <c r="V54" s="465"/>
      <c r="W54" s="465"/>
      <c r="X54" s="465"/>
      <c r="Y54" s="465"/>
      <c r="Z54" s="465"/>
      <c r="AA54" s="465"/>
      <c r="AB54" s="550"/>
      <c r="AC54" s="550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5"/>
    </row>
    <row r="55" spans="1:46" s="481" customFormat="1" ht="15">
      <c r="A55" s="454" t="s">
        <v>711</v>
      </c>
      <c r="B55" s="454" t="s">
        <v>703</v>
      </c>
      <c r="C55" s="431"/>
      <c r="D55" s="455"/>
      <c r="E55" s="431"/>
      <c r="F55" s="431"/>
      <c r="G55" s="431"/>
      <c r="H55" s="431"/>
      <c r="I55" s="431"/>
      <c r="J55" s="431"/>
      <c r="K55" s="456"/>
      <c r="L55" s="456"/>
      <c r="M55" s="456"/>
      <c r="N55" s="456"/>
      <c r="O55" s="456"/>
      <c r="P55" s="456"/>
      <c r="Q55" s="456"/>
      <c r="R55" s="456"/>
      <c r="S55" s="431"/>
      <c r="T55" s="431"/>
      <c r="U55" s="431"/>
      <c r="V55" s="431"/>
      <c r="W55" s="431"/>
      <c r="X55" s="431"/>
      <c r="Y55" s="431"/>
      <c r="Z55" s="431"/>
      <c r="AA55" s="431"/>
      <c r="AB55" s="546"/>
      <c r="AC55" s="546"/>
      <c r="AD55" s="431"/>
      <c r="AE55" s="431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</row>
    <row r="56" spans="1:46" s="481" customFormat="1" ht="15">
      <c r="A56" s="463" t="s">
        <v>241</v>
      </c>
      <c r="B56" s="532" t="s">
        <v>226</v>
      </c>
      <c r="C56" s="465"/>
      <c r="D56" s="464" t="s">
        <v>338</v>
      </c>
      <c r="E56" s="465" t="s">
        <v>393</v>
      </c>
      <c r="F56" s="465"/>
      <c r="G56" s="465"/>
      <c r="H56" s="465"/>
      <c r="I56" s="465"/>
      <c r="J56" s="465"/>
      <c r="K56" s="466"/>
      <c r="L56" s="466"/>
      <c r="M56" s="466"/>
      <c r="N56" s="466"/>
      <c r="O56" s="466"/>
      <c r="P56" s="466"/>
      <c r="Q56" s="466">
        <v>6770</v>
      </c>
      <c r="R56" s="466"/>
      <c r="S56" s="465"/>
      <c r="T56" s="465"/>
      <c r="U56" s="465"/>
      <c r="V56" s="465"/>
      <c r="W56" s="465"/>
      <c r="X56" s="465"/>
      <c r="Y56" s="465"/>
      <c r="Z56" s="465"/>
      <c r="AA56" s="465"/>
      <c r="AB56" s="550"/>
      <c r="AC56" s="550"/>
      <c r="AD56" s="465"/>
      <c r="AE56" s="465"/>
      <c r="AF56" s="465"/>
      <c r="AG56" s="465"/>
      <c r="AH56" s="465"/>
      <c r="AI56" s="465"/>
      <c r="AJ56" s="465"/>
      <c r="AK56" s="465"/>
      <c r="AL56" s="465"/>
      <c r="AM56" s="465"/>
      <c r="AN56" s="465"/>
      <c r="AO56" s="465"/>
      <c r="AP56" s="465"/>
      <c r="AQ56" s="465"/>
      <c r="AR56" s="465"/>
      <c r="AS56" s="465"/>
      <c r="AT56" s="465"/>
    </row>
    <row r="57" spans="1:46" s="481" customFormat="1" ht="30">
      <c r="A57" s="454" t="s">
        <v>369</v>
      </c>
      <c r="B57" s="528" t="s">
        <v>182</v>
      </c>
      <c r="C57" s="431" t="s">
        <v>197</v>
      </c>
      <c r="D57" s="455" t="s">
        <v>231</v>
      </c>
      <c r="E57" s="431" t="s">
        <v>220</v>
      </c>
      <c r="F57" s="431" t="s">
        <v>198</v>
      </c>
      <c r="G57" s="431"/>
      <c r="H57" s="431">
        <v>87770059014</v>
      </c>
      <c r="I57" s="431" t="s">
        <v>199</v>
      </c>
      <c r="J57" s="431"/>
      <c r="K57" s="456"/>
      <c r="L57" s="456"/>
      <c r="M57" s="456"/>
      <c r="N57" s="456"/>
      <c r="O57" s="456"/>
      <c r="P57" s="456">
        <v>9744</v>
      </c>
      <c r="Q57" s="456"/>
      <c r="R57" s="456"/>
      <c r="S57" s="431"/>
      <c r="T57" s="431"/>
      <c r="U57" s="431">
        <v>4920</v>
      </c>
      <c r="V57" s="431"/>
      <c r="W57" s="431"/>
      <c r="X57" s="431"/>
      <c r="Y57" s="431"/>
      <c r="Z57" s="431"/>
      <c r="AA57" s="431"/>
      <c r="AB57" s="546"/>
      <c r="AC57" s="546"/>
      <c r="AD57" s="431"/>
      <c r="AE57" s="431"/>
      <c r="AF57" s="431"/>
      <c r="AG57" s="431"/>
      <c r="AH57" s="431"/>
      <c r="AI57" s="431"/>
      <c r="AJ57" s="431"/>
      <c r="AK57" s="431"/>
      <c r="AL57" s="431"/>
      <c r="AM57" s="431"/>
      <c r="AN57" s="431"/>
      <c r="AO57" s="431"/>
      <c r="AP57" s="431"/>
      <c r="AQ57" s="431"/>
      <c r="AR57" s="431"/>
      <c r="AS57" s="431"/>
      <c r="AT57" s="431"/>
    </row>
    <row r="58" spans="1:46" s="481" customFormat="1" ht="30">
      <c r="A58" s="463" t="s">
        <v>242</v>
      </c>
      <c r="B58" s="532" t="s">
        <v>242</v>
      </c>
      <c r="C58" s="464" t="s">
        <v>172</v>
      </c>
      <c r="D58" s="464" t="s">
        <v>339</v>
      </c>
      <c r="E58" s="465" t="s">
        <v>195</v>
      </c>
      <c r="F58" s="465"/>
      <c r="G58" s="465"/>
      <c r="H58" s="465"/>
      <c r="I58" s="465"/>
      <c r="J58" s="465"/>
      <c r="K58" s="466"/>
      <c r="L58" s="466"/>
      <c r="M58" s="466"/>
      <c r="N58" s="466"/>
      <c r="O58" s="466"/>
      <c r="P58" s="466">
        <v>35120</v>
      </c>
      <c r="Q58" s="466">
        <v>19000</v>
      </c>
      <c r="R58" s="466"/>
      <c r="S58" s="465"/>
      <c r="T58" s="465"/>
      <c r="U58" s="465"/>
      <c r="V58" s="465"/>
      <c r="W58" s="465"/>
      <c r="X58" s="465"/>
      <c r="Y58" s="465"/>
      <c r="Z58" s="465"/>
      <c r="AA58" s="465"/>
      <c r="AB58" s="550"/>
      <c r="AC58" s="550"/>
      <c r="AD58" s="465"/>
      <c r="AE58" s="465"/>
      <c r="AF58" s="465"/>
      <c r="AG58" s="465"/>
      <c r="AH58" s="465"/>
      <c r="AI58" s="465"/>
      <c r="AJ58" s="465"/>
      <c r="AK58" s="465"/>
      <c r="AL58" s="465"/>
      <c r="AM58" s="465"/>
      <c r="AN58" s="465"/>
      <c r="AO58" s="465"/>
      <c r="AP58" s="465"/>
      <c r="AQ58" s="465"/>
      <c r="AR58" s="465"/>
      <c r="AS58" s="465"/>
      <c r="AT58" s="465"/>
    </row>
    <row r="59" spans="1:46" s="467" customFormat="1" ht="30">
      <c r="A59" s="454" t="s">
        <v>183</v>
      </c>
      <c r="B59" s="528" t="s">
        <v>183</v>
      </c>
      <c r="C59" s="455" t="s">
        <v>200</v>
      </c>
      <c r="D59" s="455" t="s">
        <v>231</v>
      </c>
      <c r="E59" s="431" t="s">
        <v>220</v>
      </c>
      <c r="F59" s="431" t="s">
        <v>205</v>
      </c>
      <c r="G59" s="431"/>
      <c r="H59" s="431">
        <v>87017970776</v>
      </c>
      <c r="I59" s="431" t="s">
        <v>206</v>
      </c>
      <c r="J59" s="431"/>
      <c r="K59" s="456"/>
      <c r="L59" s="456"/>
      <c r="M59" s="456"/>
      <c r="N59" s="456"/>
      <c r="O59" s="456"/>
      <c r="P59" s="456">
        <v>1600</v>
      </c>
      <c r="Q59" s="456"/>
      <c r="R59" s="456"/>
      <c r="S59" s="431"/>
      <c r="T59" s="431"/>
      <c r="U59" s="431"/>
      <c r="V59" s="431"/>
      <c r="W59" s="431"/>
      <c r="X59" s="431"/>
      <c r="Y59" s="431"/>
      <c r="Z59" s="431"/>
      <c r="AA59" s="431"/>
      <c r="AB59" s="546"/>
      <c r="AC59" s="546"/>
      <c r="AD59" s="431"/>
      <c r="AE59" s="431"/>
      <c r="AF59" s="431"/>
      <c r="AG59" s="431"/>
      <c r="AH59" s="431"/>
      <c r="AI59" s="431"/>
      <c r="AJ59" s="431"/>
      <c r="AK59" s="431"/>
      <c r="AL59" s="431"/>
      <c r="AM59" s="431"/>
      <c r="AN59" s="431"/>
      <c r="AO59" s="431"/>
      <c r="AP59" s="431"/>
      <c r="AQ59" s="431"/>
      <c r="AR59" s="431"/>
      <c r="AS59" s="431"/>
      <c r="AT59" s="431"/>
    </row>
    <row r="60" spans="1:46" s="499" customFormat="1" ht="75">
      <c r="A60" s="454" t="s">
        <v>243</v>
      </c>
      <c r="B60" s="528" t="s">
        <v>211</v>
      </c>
      <c r="C60" s="455" t="s">
        <v>211</v>
      </c>
      <c r="D60" s="455" t="s">
        <v>231</v>
      </c>
      <c r="E60" s="431" t="s">
        <v>220</v>
      </c>
      <c r="F60" s="431" t="s">
        <v>212</v>
      </c>
      <c r="G60" s="431">
        <v>2729382</v>
      </c>
      <c r="H60" s="431"/>
      <c r="I60" s="431" t="s">
        <v>213</v>
      </c>
      <c r="J60" s="431"/>
      <c r="K60" s="456"/>
      <c r="L60" s="456"/>
      <c r="M60" s="456"/>
      <c r="N60" s="456"/>
      <c r="O60" s="456"/>
      <c r="P60" s="456"/>
      <c r="Q60" s="456">
        <v>4688</v>
      </c>
      <c r="R60" s="456"/>
      <c r="S60" s="431"/>
      <c r="T60" s="431"/>
      <c r="U60" s="431"/>
      <c r="V60" s="431"/>
      <c r="W60" s="431"/>
      <c r="X60" s="431"/>
      <c r="Y60" s="431"/>
      <c r="Z60" s="431"/>
      <c r="AA60" s="431"/>
      <c r="AB60" s="546"/>
      <c r="AC60" s="546"/>
      <c r="AD60" s="431"/>
      <c r="AE60" s="431"/>
      <c r="AF60" s="431"/>
      <c r="AG60" s="431"/>
      <c r="AH60" s="431"/>
      <c r="AI60" s="431"/>
      <c r="AJ60" s="431"/>
      <c r="AK60" s="431"/>
      <c r="AL60" s="431"/>
      <c r="AM60" s="431"/>
      <c r="AN60" s="431"/>
      <c r="AO60" s="431"/>
      <c r="AP60" s="431"/>
      <c r="AQ60" s="431"/>
      <c r="AR60" s="431"/>
      <c r="AS60" s="431"/>
      <c r="AT60" s="431"/>
    </row>
    <row r="61" spans="1:46" s="499" customFormat="1" ht="30">
      <c r="A61" s="454" t="s">
        <v>181</v>
      </c>
      <c r="B61" s="528" t="s">
        <v>509</v>
      </c>
      <c r="C61" s="455" t="s">
        <v>181</v>
      </c>
      <c r="D61" s="455" t="s">
        <v>338</v>
      </c>
      <c r="E61" s="431" t="s">
        <v>201</v>
      </c>
      <c r="F61" s="431" t="s">
        <v>288</v>
      </c>
      <c r="G61" s="431"/>
      <c r="H61" s="431"/>
      <c r="I61" s="431"/>
      <c r="J61" s="431"/>
      <c r="K61" s="456"/>
      <c r="L61" s="456"/>
      <c r="M61" s="456"/>
      <c r="N61" s="456"/>
      <c r="O61" s="456"/>
      <c r="P61" s="456">
        <v>626</v>
      </c>
      <c r="Q61" s="456"/>
      <c r="R61" s="456"/>
      <c r="S61" s="431"/>
      <c r="T61" s="431"/>
      <c r="U61" s="431"/>
      <c r="V61" s="431"/>
      <c r="W61" s="431"/>
      <c r="X61" s="431"/>
      <c r="Y61" s="431"/>
      <c r="Z61" s="431"/>
      <c r="AA61" s="431"/>
      <c r="AB61" s="546"/>
      <c r="AC61" s="546"/>
      <c r="AD61" s="431"/>
      <c r="AE61" s="431"/>
      <c r="AF61" s="431"/>
      <c r="AG61" s="431"/>
      <c r="AH61" s="431"/>
      <c r="AI61" s="431"/>
      <c r="AJ61" s="431"/>
      <c r="AK61" s="431"/>
      <c r="AL61" s="431"/>
      <c r="AM61" s="431"/>
      <c r="AN61" s="431"/>
      <c r="AO61" s="431"/>
      <c r="AP61" s="431"/>
      <c r="AQ61" s="431"/>
      <c r="AR61" s="431"/>
      <c r="AS61" s="431"/>
      <c r="AT61" s="431"/>
    </row>
    <row r="62" spans="1:46" s="517" customFormat="1" ht="26.25">
      <c r="A62" s="429" t="s">
        <v>324</v>
      </c>
      <c r="B62" s="529" t="s">
        <v>290</v>
      </c>
      <c r="C62" s="429" t="s">
        <v>352</v>
      </c>
      <c r="D62" s="376" t="s">
        <v>231</v>
      </c>
      <c r="E62" s="502" t="s">
        <v>220</v>
      </c>
      <c r="F62" s="502" t="s">
        <v>517</v>
      </c>
      <c r="G62" s="502"/>
      <c r="H62" s="502"/>
      <c r="I62" s="502" t="s">
        <v>492</v>
      </c>
      <c r="J62" s="502"/>
      <c r="K62" s="514"/>
      <c r="L62" s="514"/>
      <c r="M62" s="514"/>
      <c r="N62" s="514"/>
      <c r="O62" s="514"/>
      <c r="P62" s="514"/>
      <c r="Q62" s="514"/>
      <c r="R62" s="514"/>
      <c r="S62" s="502">
        <v>7500</v>
      </c>
      <c r="T62" s="502"/>
      <c r="U62" s="502"/>
      <c r="V62" s="502">
        <v>2050</v>
      </c>
      <c r="W62" s="502"/>
      <c r="X62" s="502"/>
      <c r="Y62" s="502"/>
      <c r="Z62" s="502"/>
      <c r="AA62" s="502"/>
      <c r="AB62" s="549"/>
      <c r="AC62" s="549"/>
      <c r="AD62" s="502"/>
      <c r="AE62" s="502"/>
      <c r="AF62" s="502"/>
      <c r="AG62" s="502"/>
      <c r="AH62" s="502"/>
      <c r="AI62" s="502"/>
      <c r="AJ62" s="502"/>
      <c r="AK62" s="502"/>
      <c r="AL62" s="502"/>
      <c r="AM62" s="502"/>
      <c r="AN62" s="502"/>
      <c r="AO62" s="502"/>
      <c r="AP62" s="502"/>
      <c r="AQ62" s="502"/>
      <c r="AR62" s="502"/>
      <c r="AS62" s="502"/>
      <c r="AT62" s="502"/>
    </row>
    <row r="63" spans="1:46" s="495" customFormat="1" ht="26.25">
      <c r="A63" s="454" t="s">
        <v>244</v>
      </c>
      <c r="B63" s="528" t="s">
        <v>207</v>
      </c>
      <c r="C63" s="457" t="s">
        <v>353</v>
      </c>
      <c r="D63" s="455" t="s">
        <v>231</v>
      </c>
      <c r="E63" s="431" t="s">
        <v>222</v>
      </c>
      <c r="F63" s="431"/>
      <c r="G63" s="431"/>
      <c r="H63" s="431"/>
      <c r="I63" s="431"/>
      <c r="J63" s="431"/>
      <c r="K63" s="456"/>
      <c r="L63" s="456"/>
      <c r="M63" s="456"/>
      <c r="N63" s="456"/>
      <c r="O63" s="456">
        <v>1880</v>
      </c>
      <c r="P63" s="456"/>
      <c r="Q63" s="456">
        <v>39640</v>
      </c>
      <c r="R63" s="456"/>
      <c r="S63" s="431"/>
      <c r="T63" s="431">
        <v>1784</v>
      </c>
      <c r="U63" s="431">
        <v>2800</v>
      </c>
      <c r="V63" s="431"/>
      <c r="W63" s="431"/>
      <c r="X63" s="431"/>
      <c r="Y63" s="431"/>
      <c r="Z63" s="431"/>
      <c r="AA63" s="431"/>
      <c r="AB63" s="546"/>
      <c r="AC63" s="546"/>
      <c r="AD63" s="431"/>
      <c r="AE63" s="431"/>
      <c r="AF63" s="431"/>
      <c r="AG63" s="431"/>
      <c r="AH63" s="431"/>
      <c r="AI63" s="431"/>
      <c r="AJ63" s="431"/>
      <c r="AK63" s="431"/>
      <c r="AL63" s="431"/>
      <c r="AM63" s="431"/>
      <c r="AN63" s="431"/>
      <c r="AO63" s="431"/>
      <c r="AP63" s="431"/>
      <c r="AQ63" s="431"/>
      <c r="AR63" s="431"/>
      <c r="AS63" s="431"/>
      <c r="AT63" s="431"/>
    </row>
    <row r="64" spans="1:46" s="481" customFormat="1" ht="84.75" customHeight="1">
      <c r="A64" s="524" t="s">
        <v>636</v>
      </c>
      <c r="B64" s="571" t="s">
        <v>624</v>
      </c>
      <c r="C64" s="524"/>
      <c r="D64" s="465"/>
      <c r="E64" s="465" t="s">
        <v>221</v>
      </c>
      <c r="F64" s="465" t="s">
        <v>672</v>
      </c>
      <c r="G64" s="465"/>
      <c r="H64" s="465">
        <v>87017057530</v>
      </c>
      <c r="I64" s="465" t="s">
        <v>671</v>
      </c>
      <c r="J64" s="465"/>
      <c r="K64" s="466"/>
      <c r="L64" s="466"/>
      <c r="M64" s="466"/>
      <c r="N64" s="466"/>
      <c r="O64" s="466"/>
      <c r="P64" s="466"/>
      <c r="Q64" s="519"/>
      <c r="R64" s="466"/>
      <c r="S64" s="465"/>
      <c r="T64" s="465"/>
      <c r="U64" s="465"/>
      <c r="V64" s="465"/>
      <c r="W64" s="465"/>
      <c r="X64" s="465"/>
      <c r="Y64" s="465"/>
      <c r="Z64" s="465"/>
      <c r="AA64" s="465"/>
      <c r="AB64" s="550"/>
      <c r="AC64" s="550"/>
      <c r="AD64" s="465"/>
      <c r="AE64" s="465"/>
      <c r="AF64" s="465"/>
      <c r="AG64" s="465"/>
      <c r="AH64" s="465"/>
      <c r="AI64" s="465"/>
      <c r="AJ64" s="465"/>
      <c r="AK64" s="465"/>
      <c r="AL64" s="465"/>
      <c r="AM64" s="465"/>
      <c r="AN64" s="465"/>
      <c r="AO64" s="465"/>
      <c r="AP64" s="465"/>
      <c r="AQ64" s="465"/>
      <c r="AR64" s="465"/>
      <c r="AS64" s="465"/>
      <c r="AT64" s="465"/>
    </row>
    <row r="65" spans="1:46" s="499" customFormat="1" ht="45">
      <c r="A65" s="569" t="s">
        <v>596</v>
      </c>
      <c r="B65" s="570" t="s">
        <v>588</v>
      </c>
      <c r="C65" s="569"/>
      <c r="D65" s="500"/>
      <c r="E65" s="500" t="s">
        <v>221</v>
      </c>
      <c r="F65" s="500" t="s">
        <v>582</v>
      </c>
      <c r="H65" s="500">
        <v>87054481222</v>
      </c>
      <c r="I65" s="500" t="s">
        <v>674</v>
      </c>
      <c r="J65" s="500"/>
      <c r="K65" s="512"/>
      <c r="L65" s="512"/>
      <c r="M65" s="512"/>
      <c r="N65" s="512"/>
      <c r="O65" s="512"/>
      <c r="P65" s="512"/>
      <c r="Q65" s="513"/>
      <c r="R65" s="512"/>
      <c r="S65" s="500"/>
      <c r="T65" s="500"/>
      <c r="U65" s="500"/>
      <c r="V65" s="500"/>
      <c r="W65" s="500"/>
      <c r="X65" s="500"/>
      <c r="Y65" s="500"/>
      <c r="Z65" s="500"/>
      <c r="AA65" s="500"/>
      <c r="AB65" s="551"/>
      <c r="AC65" s="551"/>
      <c r="AD65" s="500"/>
      <c r="AE65" s="500"/>
      <c r="AF65" s="500"/>
      <c r="AG65" s="500"/>
      <c r="AH65" s="500"/>
      <c r="AI65" s="500"/>
      <c r="AJ65" s="500"/>
      <c r="AK65" s="500"/>
      <c r="AL65" s="500"/>
      <c r="AM65" s="500"/>
      <c r="AN65" s="500"/>
      <c r="AO65" s="500"/>
      <c r="AP65" s="500"/>
      <c r="AQ65" s="500"/>
      <c r="AR65" s="500"/>
      <c r="AS65" s="500"/>
      <c r="AT65" s="500"/>
    </row>
    <row r="66" spans="1:46" s="517" customFormat="1" ht="15">
      <c r="A66" s="569" t="s">
        <v>657</v>
      </c>
      <c r="B66" s="570" t="s">
        <v>648</v>
      </c>
      <c r="C66" s="570" t="s">
        <v>648</v>
      </c>
      <c r="D66" s="500"/>
      <c r="E66" s="500" t="s">
        <v>220</v>
      </c>
      <c r="F66" s="500" t="s">
        <v>673</v>
      </c>
      <c r="G66" s="500"/>
      <c r="H66" s="500">
        <v>87051925093</v>
      </c>
      <c r="I66" s="500" t="s">
        <v>675</v>
      </c>
      <c r="J66" s="500"/>
      <c r="K66" s="512"/>
      <c r="L66" s="512"/>
      <c r="M66" s="512"/>
      <c r="N66" s="512"/>
      <c r="O66" s="512"/>
      <c r="P66" s="512"/>
      <c r="Q66" s="513"/>
      <c r="R66" s="512"/>
      <c r="S66" s="500"/>
      <c r="T66" s="500"/>
      <c r="U66" s="500"/>
      <c r="V66" s="500"/>
      <c r="W66" s="500"/>
      <c r="X66" s="500"/>
      <c r="Y66" s="500"/>
      <c r="Z66" s="500"/>
      <c r="AA66" s="500"/>
      <c r="AB66" s="551"/>
      <c r="AC66" s="551"/>
      <c r="AD66" s="500"/>
      <c r="AE66" s="500"/>
      <c r="AF66" s="500"/>
      <c r="AG66" s="500"/>
      <c r="AH66" s="500"/>
      <c r="AI66" s="500"/>
      <c r="AJ66" s="500"/>
      <c r="AK66" s="500"/>
      <c r="AL66" s="500"/>
      <c r="AM66" s="500"/>
      <c r="AN66" s="500"/>
      <c r="AO66" s="500"/>
      <c r="AP66" s="500"/>
      <c r="AQ66" s="500"/>
      <c r="AR66" s="500"/>
      <c r="AS66" s="500"/>
      <c r="AT66" s="500"/>
    </row>
    <row r="67" spans="1:46" s="481" customFormat="1" ht="15">
      <c r="A67" s="454" t="s">
        <v>280</v>
      </c>
      <c r="B67" s="528" t="s">
        <v>280</v>
      </c>
      <c r="C67" s="431"/>
      <c r="D67" s="455" t="s">
        <v>338</v>
      </c>
      <c r="E67" s="431" t="s">
        <v>291</v>
      </c>
      <c r="F67" s="431"/>
      <c r="G67" s="431"/>
      <c r="H67" s="431"/>
      <c r="I67" s="431"/>
      <c r="J67" s="431"/>
      <c r="K67" s="456"/>
      <c r="L67" s="456"/>
      <c r="M67" s="456"/>
      <c r="N67" s="456"/>
      <c r="O67" s="456"/>
      <c r="P67" s="456"/>
      <c r="Q67" s="488"/>
      <c r="R67" s="456">
        <v>7561</v>
      </c>
      <c r="S67" s="431"/>
      <c r="T67" s="431"/>
      <c r="U67" s="431"/>
      <c r="V67" s="431"/>
      <c r="W67" s="431"/>
      <c r="X67" s="431"/>
      <c r="Y67" s="431"/>
      <c r="Z67" s="431"/>
      <c r="AA67" s="431"/>
      <c r="AB67" s="546"/>
      <c r="AC67" s="546"/>
      <c r="AD67" s="431"/>
      <c r="AE67" s="431"/>
      <c r="AF67" s="431"/>
      <c r="AG67" s="431"/>
      <c r="AH67" s="431"/>
      <c r="AI67" s="431"/>
      <c r="AJ67" s="431"/>
      <c r="AK67" s="431"/>
      <c r="AL67" s="431"/>
      <c r="AM67" s="431"/>
      <c r="AN67" s="431"/>
      <c r="AO67" s="431"/>
      <c r="AP67" s="431"/>
      <c r="AQ67" s="431"/>
      <c r="AR67" s="431"/>
      <c r="AS67" s="431"/>
      <c r="AT67" s="431"/>
    </row>
    <row r="68" spans="1:46" s="499" customFormat="1" ht="30">
      <c r="A68" s="482" t="s">
        <v>690</v>
      </c>
      <c r="B68" s="482" t="s">
        <v>687</v>
      </c>
      <c r="C68" s="482"/>
      <c r="D68" s="483"/>
      <c r="E68" s="483" t="s">
        <v>221</v>
      </c>
      <c r="F68" s="483"/>
      <c r="G68" s="500"/>
      <c r="H68" s="483">
        <v>87752122120</v>
      </c>
      <c r="I68" s="483" t="s">
        <v>694</v>
      </c>
      <c r="J68" s="483"/>
      <c r="K68" s="484"/>
      <c r="L68" s="484"/>
      <c r="M68" s="484"/>
      <c r="N68" s="484"/>
      <c r="O68" s="484"/>
      <c r="P68" s="484"/>
      <c r="Q68" s="489"/>
      <c r="R68" s="484"/>
      <c r="S68" s="483"/>
      <c r="T68" s="483"/>
      <c r="U68" s="483"/>
      <c r="V68" s="483"/>
      <c r="W68" s="483"/>
      <c r="X68" s="483"/>
      <c r="Y68" s="483"/>
      <c r="Z68" s="483"/>
      <c r="AA68" s="483"/>
      <c r="AB68" s="556"/>
      <c r="AC68" s="556"/>
      <c r="AD68" s="431"/>
      <c r="AE68" s="483"/>
      <c r="AF68" s="483"/>
      <c r="AG68" s="483"/>
      <c r="AH68" s="483"/>
      <c r="AI68" s="483"/>
      <c r="AJ68" s="483"/>
      <c r="AK68" s="483"/>
      <c r="AL68" s="483"/>
      <c r="AM68" s="483"/>
      <c r="AN68" s="483"/>
      <c r="AO68" s="483"/>
      <c r="AP68" s="483"/>
      <c r="AQ68" s="483"/>
      <c r="AR68" s="483"/>
      <c r="AS68" s="483"/>
      <c r="AT68" s="483"/>
    </row>
    <row r="69" spans="1:46" s="495" customFormat="1" ht="15">
      <c r="A69" s="428" t="s">
        <v>473</v>
      </c>
      <c r="B69" s="529" t="s">
        <v>440</v>
      </c>
      <c r="C69" s="502" t="s">
        <v>84</v>
      </c>
      <c r="D69" s="502" t="s">
        <v>84</v>
      </c>
      <c r="E69" s="502"/>
      <c r="F69" s="502"/>
      <c r="G69" s="502"/>
      <c r="H69" s="502"/>
      <c r="I69" s="502"/>
      <c r="J69" s="502"/>
      <c r="K69" s="514"/>
      <c r="L69" s="514"/>
      <c r="M69" s="514"/>
      <c r="N69" s="514"/>
      <c r="O69" s="514"/>
      <c r="P69" s="514"/>
      <c r="Q69" s="516"/>
      <c r="R69" s="514"/>
      <c r="S69" s="502"/>
      <c r="T69" s="502"/>
      <c r="U69" s="502"/>
      <c r="V69" s="502"/>
      <c r="W69" s="502">
        <v>17600</v>
      </c>
      <c r="X69" s="502"/>
      <c r="Y69" s="502"/>
      <c r="Z69" s="502"/>
      <c r="AA69" s="431"/>
      <c r="AB69" s="549"/>
      <c r="AC69" s="549"/>
      <c r="AD69" s="502"/>
      <c r="AE69" s="502"/>
      <c r="AF69" s="502"/>
      <c r="AG69" s="502"/>
      <c r="AH69" s="502"/>
      <c r="AI69" s="502"/>
      <c r="AJ69" s="502"/>
      <c r="AK69" s="502"/>
      <c r="AL69" s="502"/>
      <c r="AM69" s="502"/>
      <c r="AN69" s="502"/>
      <c r="AO69" s="502"/>
      <c r="AP69" s="502"/>
      <c r="AQ69" s="502"/>
      <c r="AR69" s="502"/>
      <c r="AS69" s="502"/>
      <c r="AT69" s="502"/>
    </row>
    <row r="70" spans="1:46" s="499" customFormat="1" ht="15">
      <c r="A70" s="429" t="s">
        <v>143</v>
      </c>
      <c r="B70" s="529" t="s">
        <v>143</v>
      </c>
      <c r="C70" s="502"/>
      <c r="D70" s="376" t="s">
        <v>83</v>
      </c>
      <c r="E70" s="502" t="s">
        <v>218</v>
      </c>
      <c r="F70" s="502"/>
      <c r="G70" s="502"/>
      <c r="H70" s="502"/>
      <c r="I70" s="502"/>
      <c r="J70" s="502"/>
      <c r="K70" s="514"/>
      <c r="L70" s="514"/>
      <c r="M70" s="514"/>
      <c r="N70" s="514"/>
      <c r="O70" s="514">
        <v>13000</v>
      </c>
      <c r="P70" s="514"/>
      <c r="Q70" s="514"/>
      <c r="R70" s="514"/>
      <c r="S70" s="502"/>
      <c r="T70" s="502"/>
      <c r="U70" s="502"/>
      <c r="V70" s="502"/>
      <c r="W70" s="502"/>
      <c r="X70" s="502"/>
      <c r="Y70" s="502"/>
      <c r="Z70" s="502"/>
      <c r="AA70" s="431"/>
      <c r="AB70" s="549"/>
      <c r="AC70" s="549"/>
      <c r="AD70" s="502"/>
      <c r="AE70" s="502"/>
      <c r="AF70" s="502"/>
      <c r="AG70" s="502"/>
      <c r="AH70" s="502"/>
      <c r="AI70" s="502"/>
      <c r="AJ70" s="502"/>
      <c r="AK70" s="502"/>
      <c r="AL70" s="502"/>
      <c r="AM70" s="502"/>
      <c r="AN70" s="502"/>
      <c r="AO70" s="502"/>
      <c r="AP70" s="502"/>
      <c r="AQ70" s="502"/>
      <c r="AR70" s="502"/>
      <c r="AS70" s="502"/>
      <c r="AT70" s="502"/>
    </row>
    <row r="71" spans="1:46" s="499" customFormat="1" ht="15">
      <c r="A71" s="428" t="s">
        <v>474</v>
      </c>
      <c r="B71" s="529" t="s">
        <v>481</v>
      </c>
      <c r="C71" s="502"/>
      <c r="D71" s="376" t="s">
        <v>338</v>
      </c>
      <c r="E71" s="502"/>
      <c r="F71" s="502"/>
      <c r="G71" s="502"/>
      <c r="H71" s="502"/>
      <c r="I71" s="502"/>
      <c r="J71" s="502"/>
      <c r="K71" s="514"/>
      <c r="L71" s="514"/>
      <c r="M71" s="514"/>
      <c r="N71" s="514"/>
      <c r="O71" s="514"/>
      <c r="P71" s="514"/>
      <c r="Q71" s="516"/>
      <c r="R71" s="514"/>
      <c r="S71" s="502">
        <v>5000</v>
      </c>
      <c r="T71" s="502"/>
      <c r="U71" s="502"/>
      <c r="V71" s="502"/>
      <c r="W71" s="502">
        <v>3800</v>
      </c>
      <c r="X71" s="502"/>
      <c r="Y71" s="502"/>
      <c r="Z71" s="502"/>
      <c r="AA71" s="431"/>
      <c r="AB71" s="549"/>
      <c r="AC71" s="549"/>
      <c r="AD71" s="502"/>
      <c r="AE71" s="502"/>
      <c r="AF71" s="502"/>
      <c r="AG71" s="502"/>
      <c r="AH71" s="502"/>
      <c r="AI71" s="502"/>
      <c r="AJ71" s="502"/>
      <c r="AK71" s="502"/>
      <c r="AL71" s="502"/>
      <c r="AM71" s="502"/>
      <c r="AN71" s="502"/>
      <c r="AO71" s="502"/>
      <c r="AP71" s="502"/>
      <c r="AQ71" s="502"/>
      <c r="AR71" s="502"/>
      <c r="AS71" s="502"/>
      <c r="AT71" s="502"/>
    </row>
    <row r="72" spans="1:46" s="499" customFormat="1" ht="60">
      <c r="A72" s="428" t="s">
        <v>475</v>
      </c>
      <c r="B72" s="529" t="s">
        <v>400</v>
      </c>
      <c r="C72" s="428" t="s">
        <v>493</v>
      </c>
      <c r="D72" s="502" t="s">
        <v>231</v>
      </c>
      <c r="E72" s="502" t="s">
        <v>220</v>
      </c>
      <c r="F72" s="502" t="s">
        <v>532</v>
      </c>
      <c r="G72" s="502" t="s">
        <v>600</v>
      </c>
      <c r="H72" s="502" t="s">
        <v>536</v>
      </c>
      <c r="I72" s="502" t="s">
        <v>553</v>
      </c>
      <c r="J72" s="526" t="s">
        <v>552</v>
      </c>
      <c r="K72" s="514"/>
      <c r="L72" s="514"/>
      <c r="M72" s="514"/>
      <c r="N72" s="514"/>
      <c r="O72" s="514"/>
      <c r="P72" s="514"/>
      <c r="Q72" s="516"/>
      <c r="R72" s="514"/>
      <c r="S72" s="502"/>
      <c r="T72" s="502"/>
      <c r="U72" s="502"/>
      <c r="V72" s="502"/>
      <c r="W72" s="502">
        <v>14760</v>
      </c>
      <c r="X72" s="502"/>
      <c r="Y72" s="502"/>
      <c r="Z72" s="502"/>
      <c r="AA72" s="502"/>
      <c r="AB72" s="549"/>
      <c r="AC72" s="549"/>
      <c r="AD72" s="502"/>
      <c r="AE72" s="502"/>
      <c r="AF72" s="502"/>
      <c r="AG72" s="502"/>
      <c r="AH72" s="502"/>
      <c r="AI72" s="502"/>
      <c r="AJ72" s="502"/>
      <c r="AK72" s="502"/>
      <c r="AL72" s="502"/>
      <c r="AM72" s="502"/>
      <c r="AN72" s="502"/>
      <c r="AO72" s="502"/>
      <c r="AP72" s="502"/>
      <c r="AQ72" s="502"/>
      <c r="AR72" s="502"/>
      <c r="AS72" s="502"/>
      <c r="AT72" s="502"/>
    </row>
    <row r="73" spans="1:46" s="499" customFormat="1" ht="15">
      <c r="A73" s="454" t="s">
        <v>370</v>
      </c>
      <c r="B73" s="454" t="s">
        <v>366</v>
      </c>
      <c r="C73" s="431"/>
      <c r="D73" s="431" t="s">
        <v>338</v>
      </c>
      <c r="E73" s="431" t="s">
        <v>218</v>
      </c>
      <c r="F73" s="431"/>
      <c r="G73" s="431">
        <v>3768933</v>
      </c>
      <c r="H73" s="431"/>
      <c r="I73" s="431"/>
      <c r="J73" s="431" t="s">
        <v>546</v>
      </c>
      <c r="K73" s="456"/>
      <c r="L73" s="456"/>
      <c r="M73" s="456"/>
      <c r="N73" s="456"/>
      <c r="O73" s="456"/>
      <c r="P73" s="456"/>
      <c r="Q73" s="488"/>
      <c r="R73" s="456"/>
      <c r="S73" s="431"/>
      <c r="T73" s="431"/>
      <c r="U73" s="431">
        <v>97000</v>
      </c>
      <c r="V73" s="431"/>
      <c r="W73" s="431">
        <v>7200</v>
      </c>
      <c r="X73" s="431"/>
      <c r="Y73" s="431"/>
      <c r="Z73" s="431"/>
      <c r="AA73" s="431"/>
      <c r="AB73" s="546"/>
      <c r="AC73" s="546"/>
      <c r="AD73" s="431"/>
      <c r="AE73" s="431"/>
      <c r="AF73" s="431"/>
      <c r="AG73" s="431"/>
      <c r="AH73" s="431"/>
      <c r="AI73" s="431"/>
      <c r="AJ73" s="431"/>
      <c r="AK73" s="431"/>
      <c r="AL73" s="431"/>
      <c r="AM73" s="431"/>
      <c r="AN73" s="431"/>
      <c r="AO73" s="431"/>
      <c r="AP73" s="431"/>
      <c r="AQ73" s="431"/>
      <c r="AR73" s="431"/>
      <c r="AS73" s="431"/>
      <c r="AT73" s="431"/>
    </row>
    <row r="74" spans="1:46" s="499" customFormat="1" ht="45">
      <c r="A74" s="482" t="s">
        <v>658</v>
      </c>
      <c r="B74" s="555" t="s">
        <v>642</v>
      </c>
      <c r="C74" s="555" t="s">
        <v>642</v>
      </c>
      <c r="D74" s="483"/>
      <c r="E74" s="483" t="s">
        <v>218</v>
      </c>
      <c r="F74" s="483" t="s">
        <v>676</v>
      </c>
      <c r="G74" s="483">
        <v>2509987</v>
      </c>
      <c r="H74" s="483">
        <v>87783456951</v>
      </c>
      <c r="I74" s="483" t="s">
        <v>551</v>
      </c>
      <c r="J74" s="483"/>
      <c r="K74" s="484"/>
      <c r="L74" s="484"/>
      <c r="M74" s="484"/>
      <c r="N74" s="484"/>
      <c r="O74" s="484"/>
      <c r="P74" s="484"/>
      <c r="Q74" s="489"/>
      <c r="R74" s="484"/>
      <c r="S74" s="483"/>
      <c r="T74" s="483"/>
      <c r="U74" s="483"/>
      <c r="V74" s="483"/>
      <c r="W74" s="483"/>
      <c r="X74" s="483"/>
      <c r="Y74" s="483"/>
      <c r="Z74" s="483"/>
      <c r="AA74" s="483"/>
      <c r="AB74" s="556"/>
      <c r="AC74" s="546"/>
      <c r="AD74" s="483"/>
      <c r="AE74" s="483"/>
      <c r="AF74" s="483"/>
      <c r="AG74" s="483"/>
      <c r="AH74" s="483"/>
      <c r="AI74" s="483"/>
      <c r="AJ74" s="483"/>
      <c r="AK74" s="483"/>
      <c r="AL74" s="483"/>
      <c r="AM74" s="483"/>
      <c r="AN74" s="483"/>
      <c r="AO74" s="483"/>
      <c r="AP74" s="483"/>
      <c r="AQ74" s="483"/>
      <c r="AR74" s="483"/>
      <c r="AS74" s="483"/>
      <c r="AT74" s="483"/>
    </row>
    <row r="75" spans="1:46" s="467" customFormat="1" ht="30">
      <c r="A75" s="428" t="s">
        <v>476</v>
      </c>
      <c r="B75" s="529" t="s">
        <v>401</v>
      </c>
      <c r="C75" s="502" t="s">
        <v>231</v>
      </c>
      <c r="D75" s="502" t="s">
        <v>231</v>
      </c>
      <c r="E75" s="502"/>
      <c r="F75" s="502" t="s">
        <v>677</v>
      </c>
      <c r="G75" s="502"/>
      <c r="H75" s="502">
        <v>87012184180</v>
      </c>
      <c r="I75" s="502" t="s">
        <v>533</v>
      </c>
      <c r="J75" s="502"/>
      <c r="K75" s="514"/>
      <c r="L75" s="514"/>
      <c r="M75" s="514"/>
      <c r="N75" s="514"/>
      <c r="O75" s="514"/>
      <c r="P75" s="514"/>
      <c r="Q75" s="516"/>
      <c r="R75" s="514"/>
      <c r="S75" s="502"/>
      <c r="T75" s="502"/>
      <c r="U75" s="502"/>
      <c r="V75" s="502"/>
      <c r="W75" s="502">
        <v>10142</v>
      </c>
      <c r="X75" s="502"/>
      <c r="Y75" s="502"/>
      <c r="Z75" s="502"/>
      <c r="AA75" s="431"/>
      <c r="AB75" s="549"/>
      <c r="AC75" s="549"/>
      <c r="AD75" s="502"/>
      <c r="AE75" s="502"/>
      <c r="AF75" s="502"/>
      <c r="AG75" s="502"/>
      <c r="AH75" s="502"/>
      <c r="AI75" s="502"/>
      <c r="AJ75" s="502"/>
      <c r="AK75" s="502"/>
      <c r="AL75" s="502"/>
      <c r="AM75" s="502"/>
      <c r="AN75" s="502"/>
      <c r="AO75" s="502"/>
      <c r="AP75" s="502"/>
      <c r="AQ75" s="502"/>
      <c r="AR75" s="502"/>
      <c r="AS75" s="502"/>
      <c r="AT75" s="502"/>
    </row>
    <row r="76" spans="1:46" s="499" customFormat="1" ht="60">
      <c r="A76" s="454" t="s">
        <v>325</v>
      </c>
      <c r="B76" s="528" t="s">
        <v>294</v>
      </c>
      <c r="C76" s="455" t="s">
        <v>695</v>
      </c>
      <c r="D76" s="455" t="s">
        <v>231</v>
      </c>
      <c r="E76" s="431" t="s">
        <v>291</v>
      </c>
      <c r="F76" s="431" t="s">
        <v>292</v>
      </c>
      <c r="G76" s="431">
        <v>2384377</v>
      </c>
      <c r="H76" s="431">
        <v>87017589183</v>
      </c>
      <c r="I76" s="431" t="s">
        <v>578</v>
      </c>
      <c r="J76" s="431"/>
      <c r="K76" s="456"/>
      <c r="L76" s="456"/>
      <c r="M76" s="456"/>
      <c r="N76" s="456"/>
      <c r="O76" s="456"/>
      <c r="P76" s="456"/>
      <c r="Q76" s="488"/>
      <c r="R76" s="456"/>
      <c r="S76" s="431">
        <v>13227</v>
      </c>
      <c r="T76" s="431"/>
      <c r="U76" s="431">
        <v>5385</v>
      </c>
      <c r="V76" s="431"/>
      <c r="W76" s="431"/>
      <c r="X76" s="431"/>
      <c r="Y76" s="431"/>
      <c r="Z76" s="431"/>
      <c r="AA76" s="431"/>
      <c r="AB76" s="546"/>
      <c r="AC76" s="546"/>
      <c r="AD76" s="431"/>
      <c r="AE76" s="431"/>
      <c r="AF76" s="431"/>
      <c r="AG76" s="431"/>
      <c r="AH76" s="431"/>
      <c r="AI76" s="431"/>
      <c r="AJ76" s="431"/>
      <c r="AK76" s="431"/>
      <c r="AL76" s="431"/>
      <c r="AM76" s="431"/>
      <c r="AN76" s="431"/>
      <c r="AO76" s="431"/>
      <c r="AP76" s="431"/>
      <c r="AQ76" s="431"/>
      <c r="AR76" s="431"/>
      <c r="AS76" s="431"/>
      <c r="AT76" s="431"/>
    </row>
    <row r="77" spans="1:46" s="495" customFormat="1" ht="15">
      <c r="A77" s="428" t="s">
        <v>484</v>
      </c>
      <c r="B77" s="529" t="s">
        <v>438</v>
      </c>
      <c r="C77" s="502"/>
      <c r="D77" s="502" t="s">
        <v>84</v>
      </c>
      <c r="E77" s="502"/>
      <c r="F77" s="502"/>
      <c r="G77" s="502"/>
      <c r="H77" s="502"/>
      <c r="I77" s="502"/>
      <c r="J77" s="502"/>
      <c r="K77" s="514"/>
      <c r="L77" s="514"/>
      <c r="M77" s="514"/>
      <c r="N77" s="514"/>
      <c r="O77" s="514"/>
      <c r="P77" s="514"/>
      <c r="Q77" s="516"/>
      <c r="R77" s="514"/>
      <c r="S77" s="502"/>
      <c r="T77" s="502"/>
      <c r="U77" s="502"/>
      <c r="V77" s="502"/>
      <c r="W77" s="502"/>
      <c r="X77" s="502">
        <v>8240</v>
      </c>
      <c r="Y77" s="502"/>
      <c r="Z77" s="502"/>
      <c r="AA77" s="431"/>
      <c r="AB77" s="549"/>
      <c r="AC77" s="549"/>
      <c r="AD77" s="502"/>
      <c r="AE77" s="502"/>
      <c r="AF77" s="502"/>
      <c r="AG77" s="502"/>
      <c r="AH77" s="502"/>
      <c r="AI77" s="502"/>
      <c r="AJ77" s="502"/>
      <c r="AK77" s="502"/>
      <c r="AL77" s="502"/>
      <c r="AM77" s="502"/>
      <c r="AN77" s="502"/>
      <c r="AO77" s="502"/>
      <c r="AP77" s="502"/>
      <c r="AQ77" s="502"/>
      <c r="AR77" s="502"/>
      <c r="AS77" s="502"/>
      <c r="AT77" s="502"/>
    </row>
    <row r="78" spans="1:46" s="495" customFormat="1" ht="45">
      <c r="A78" s="463" t="s">
        <v>611</v>
      </c>
      <c r="B78" s="518" t="s">
        <v>599</v>
      </c>
      <c r="C78" s="465" t="s">
        <v>583</v>
      </c>
      <c r="D78" s="464"/>
      <c r="E78" s="465" t="s">
        <v>220</v>
      </c>
      <c r="F78" s="465" t="s">
        <v>519</v>
      </c>
      <c r="G78" s="465">
        <v>2556086</v>
      </c>
      <c r="H78" s="465" t="s">
        <v>585</v>
      </c>
      <c r="I78" s="465" t="s">
        <v>584</v>
      </c>
      <c r="J78" s="573"/>
      <c r="K78" s="466"/>
      <c r="L78" s="574" t="s">
        <v>579</v>
      </c>
      <c r="M78" s="525">
        <v>41382</v>
      </c>
      <c r="N78" s="519"/>
      <c r="O78" s="466"/>
      <c r="P78" s="465"/>
      <c r="Q78" s="465"/>
      <c r="R78" s="465"/>
      <c r="S78" s="465"/>
      <c r="T78" s="465"/>
      <c r="U78" s="465"/>
      <c r="V78" s="465"/>
      <c r="W78" s="465"/>
      <c r="X78" s="465"/>
      <c r="Y78" s="465"/>
      <c r="Z78" s="465"/>
      <c r="AA78" s="465"/>
      <c r="AB78" s="550"/>
      <c r="AC78" s="550"/>
      <c r="AD78" s="465"/>
      <c r="AE78" s="465"/>
      <c r="AF78" s="465"/>
      <c r="AG78" s="465"/>
      <c r="AH78" s="465"/>
      <c r="AI78" s="465"/>
      <c r="AJ78" s="465"/>
      <c r="AK78" s="465"/>
      <c r="AL78" s="465"/>
      <c r="AM78" s="465"/>
      <c r="AN78" s="465"/>
      <c r="AO78" s="465"/>
      <c r="AP78" s="465"/>
      <c r="AQ78" s="465"/>
      <c r="AR78" s="465"/>
      <c r="AS78" s="465"/>
      <c r="AT78" s="465"/>
    </row>
    <row r="79" spans="1:46" s="492" customFormat="1" ht="45">
      <c r="A79" s="428" t="s">
        <v>485</v>
      </c>
      <c r="B79" s="529" t="s">
        <v>441</v>
      </c>
      <c r="C79" s="502"/>
      <c r="D79" s="502" t="s">
        <v>84</v>
      </c>
      <c r="E79" s="502" t="s">
        <v>291</v>
      </c>
      <c r="F79" s="502" t="s">
        <v>582</v>
      </c>
      <c r="G79" s="502"/>
      <c r="H79" s="502"/>
      <c r="I79" s="502"/>
      <c r="J79" s="502"/>
      <c r="K79" s="514"/>
      <c r="L79" s="514"/>
      <c r="M79" s="514"/>
      <c r="N79" s="514"/>
      <c r="O79" s="514"/>
      <c r="P79" s="514"/>
      <c r="Q79" s="516"/>
      <c r="R79" s="514"/>
      <c r="S79" s="502"/>
      <c r="T79" s="502"/>
      <c r="U79" s="502"/>
      <c r="V79" s="502"/>
      <c r="W79" s="502"/>
      <c r="X79" s="502">
        <v>16204</v>
      </c>
      <c r="Y79" s="502"/>
      <c r="Z79" s="502"/>
      <c r="AA79" s="431"/>
      <c r="AB79" s="549"/>
      <c r="AC79" s="549"/>
      <c r="AD79" s="502"/>
      <c r="AE79" s="502"/>
      <c r="AF79" s="502"/>
      <c r="AG79" s="502"/>
      <c r="AH79" s="502"/>
      <c r="AI79" s="502"/>
      <c r="AJ79" s="502"/>
      <c r="AK79" s="502"/>
      <c r="AL79" s="502"/>
      <c r="AM79" s="502"/>
      <c r="AN79" s="502"/>
      <c r="AO79" s="502"/>
      <c r="AP79" s="502"/>
      <c r="AQ79" s="502"/>
      <c r="AR79" s="502"/>
      <c r="AS79" s="502"/>
      <c r="AT79" s="502"/>
    </row>
    <row r="80" spans="1:29" s="502" customFormat="1" ht="30">
      <c r="A80" s="429" t="s">
        <v>246</v>
      </c>
      <c r="B80" s="388" t="s">
        <v>171</v>
      </c>
      <c r="C80" s="376" t="s">
        <v>171</v>
      </c>
      <c r="D80" s="376" t="s">
        <v>231</v>
      </c>
      <c r="E80" s="502" t="s">
        <v>221</v>
      </c>
      <c r="F80" s="502" t="s">
        <v>542</v>
      </c>
      <c r="G80" s="502" t="s">
        <v>605</v>
      </c>
      <c r="I80" s="502" t="s">
        <v>587</v>
      </c>
      <c r="J80" s="526" t="s">
        <v>604</v>
      </c>
      <c r="K80" s="514"/>
      <c r="L80" s="514"/>
      <c r="M80" s="514"/>
      <c r="N80" s="514"/>
      <c r="O80" s="514"/>
      <c r="P80" s="514"/>
      <c r="Q80" s="514">
        <v>969888</v>
      </c>
      <c r="R80" s="514"/>
      <c r="S80" s="502">
        <v>17424</v>
      </c>
      <c r="T80" s="502">
        <v>4872</v>
      </c>
      <c r="V80" s="502">
        <v>73622</v>
      </c>
      <c r="AB80" s="549"/>
      <c r="AC80" s="549"/>
    </row>
    <row r="81" spans="1:46" s="502" customFormat="1" ht="15">
      <c r="A81" s="478" t="s">
        <v>637</v>
      </c>
      <c r="B81" s="535" t="s">
        <v>296</v>
      </c>
      <c r="C81" s="478"/>
      <c r="D81" s="479"/>
      <c r="E81" s="479" t="s">
        <v>220</v>
      </c>
      <c r="F81" s="479"/>
      <c r="G81" s="479"/>
      <c r="H81" s="479"/>
      <c r="I81" s="479"/>
      <c r="J81" s="479"/>
      <c r="K81" s="480"/>
      <c r="L81" s="480"/>
      <c r="M81" s="480"/>
      <c r="N81" s="480"/>
      <c r="O81" s="480"/>
      <c r="P81" s="480"/>
      <c r="Q81" s="490"/>
      <c r="R81" s="480"/>
      <c r="S81" s="479"/>
      <c r="T81" s="479"/>
      <c r="U81" s="479"/>
      <c r="V81" s="479"/>
      <c r="W81" s="479"/>
      <c r="X81" s="479"/>
      <c r="Y81" s="479"/>
      <c r="Z81" s="479"/>
      <c r="AA81" s="479"/>
      <c r="AB81" s="547"/>
      <c r="AC81" s="547"/>
      <c r="AD81" s="479"/>
      <c r="AE81" s="479"/>
      <c r="AF81" s="479"/>
      <c r="AG81" s="479"/>
      <c r="AH81" s="479"/>
      <c r="AI81" s="479"/>
      <c r="AJ81" s="479"/>
      <c r="AK81" s="479"/>
      <c r="AL81" s="479"/>
      <c r="AM81" s="479"/>
      <c r="AN81" s="479"/>
      <c r="AO81" s="479"/>
      <c r="AP81" s="479"/>
      <c r="AQ81" s="479"/>
      <c r="AR81" s="479"/>
      <c r="AS81" s="479"/>
      <c r="AT81" s="479"/>
    </row>
    <row r="82" spans="1:46" s="500" customFormat="1" ht="15">
      <c r="A82" s="454" t="s">
        <v>345</v>
      </c>
      <c r="B82" s="458" t="s">
        <v>311</v>
      </c>
      <c r="C82" s="458" t="s">
        <v>311</v>
      </c>
      <c r="D82" s="455" t="s">
        <v>84</v>
      </c>
      <c r="E82" s="431" t="s">
        <v>218</v>
      </c>
      <c r="F82" s="431"/>
      <c r="G82" s="431"/>
      <c r="H82" s="431"/>
      <c r="I82" s="431"/>
      <c r="J82" s="431"/>
      <c r="K82" s="456"/>
      <c r="L82" s="456"/>
      <c r="M82" s="456"/>
      <c r="N82" s="456"/>
      <c r="O82" s="456"/>
      <c r="P82" s="456"/>
      <c r="Q82" s="456"/>
      <c r="R82" s="456"/>
      <c r="S82" s="431"/>
      <c r="T82" s="431">
        <v>91000</v>
      </c>
      <c r="U82" s="431"/>
      <c r="V82" s="431"/>
      <c r="W82" s="431"/>
      <c r="X82" s="431"/>
      <c r="Y82" s="431"/>
      <c r="Z82" s="431"/>
      <c r="AA82" s="431"/>
      <c r="AB82" s="546"/>
      <c r="AC82" s="546"/>
      <c r="AD82" s="431"/>
      <c r="AE82" s="431"/>
      <c r="AF82" s="431"/>
      <c r="AG82" s="431"/>
      <c r="AH82" s="431"/>
      <c r="AI82" s="431"/>
      <c r="AJ82" s="431"/>
      <c r="AK82" s="431"/>
      <c r="AL82" s="431"/>
      <c r="AM82" s="431"/>
      <c r="AN82" s="431"/>
      <c r="AO82" s="431"/>
      <c r="AP82" s="431"/>
      <c r="AQ82" s="431"/>
      <c r="AR82" s="431"/>
      <c r="AS82" s="431"/>
      <c r="AT82" s="431"/>
    </row>
    <row r="83" spans="1:46" s="492" customFormat="1" ht="60">
      <c r="A83" s="454" t="s">
        <v>164</v>
      </c>
      <c r="B83" s="458" t="s">
        <v>164</v>
      </c>
      <c r="C83" s="431"/>
      <c r="D83" s="455" t="s">
        <v>231</v>
      </c>
      <c r="E83" s="431" t="s">
        <v>508</v>
      </c>
      <c r="F83" s="431" t="s">
        <v>202</v>
      </c>
      <c r="G83" s="431">
        <v>2770047</v>
      </c>
      <c r="H83" s="431"/>
      <c r="I83" s="431" t="s">
        <v>203</v>
      </c>
      <c r="J83" s="498" t="s">
        <v>581</v>
      </c>
      <c r="K83" s="456"/>
      <c r="L83" s="456"/>
      <c r="M83" s="456"/>
      <c r="N83" s="456"/>
      <c r="O83" s="456">
        <v>56500</v>
      </c>
      <c r="P83" s="456">
        <v>0</v>
      </c>
      <c r="Q83" s="456"/>
      <c r="R83" s="456"/>
      <c r="S83" s="431"/>
      <c r="T83" s="431"/>
      <c r="U83" s="431"/>
      <c r="V83" s="431"/>
      <c r="W83" s="431"/>
      <c r="X83" s="431"/>
      <c r="Y83" s="431"/>
      <c r="Z83" s="431"/>
      <c r="AA83" s="431"/>
      <c r="AB83" s="546"/>
      <c r="AC83" s="546"/>
      <c r="AD83" s="431"/>
      <c r="AE83" s="431"/>
      <c r="AF83" s="431"/>
      <c r="AG83" s="431"/>
      <c r="AH83" s="431"/>
      <c r="AI83" s="431"/>
      <c r="AJ83" s="431"/>
      <c r="AK83" s="431"/>
      <c r="AL83" s="431"/>
      <c r="AM83" s="431"/>
      <c r="AN83" s="431"/>
      <c r="AO83" s="431"/>
      <c r="AP83" s="431"/>
      <c r="AQ83" s="431"/>
      <c r="AR83" s="431"/>
      <c r="AS83" s="431"/>
      <c r="AT83" s="431"/>
    </row>
    <row r="84" spans="1:46" s="483" customFormat="1" ht="60">
      <c r="A84" s="454" t="s">
        <v>247</v>
      </c>
      <c r="B84" s="455" t="s">
        <v>184</v>
      </c>
      <c r="C84" s="431" t="s">
        <v>520</v>
      </c>
      <c r="D84" s="455" t="s">
        <v>338</v>
      </c>
      <c r="E84" s="431" t="s">
        <v>511</v>
      </c>
      <c r="F84" s="431" t="s">
        <v>521</v>
      </c>
      <c r="G84" s="431">
        <v>2922901</v>
      </c>
      <c r="H84" s="431">
        <v>87073874177</v>
      </c>
      <c r="I84" s="431" t="s">
        <v>522</v>
      </c>
      <c r="J84" s="431"/>
      <c r="K84" s="456"/>
      <c r="L84" s="456"/>
      <c r="M84" s="456"/>
      <c r="N84" s="456"/>
      <c r="O84" s="456"/>
      <c r="P84" s="456"/>
      <c r="Q84" s="456">
        <v>153600</v>
      </c>
      <c r="R84" s="456"/>
      <c r="S84" s="431"/>
      <c r="T84" s="431"/>
      <c r="U84" s="431"/>
      <c r="V84" s="431"/>
      <c r="W84" s="431"/>
      <c r="X84" s="431"/>
      <c r="Y84" s="431"/>
      <c r="Z84" s="431"/>
      <c r="AA84" s="431"/>
      <c r="AB84" s="546"/>
      <c r="AC84" s="546"/>
      <c r="AD84" s="431"/>
      <c r="AE84" s="431"/>
      <c r="AF84" s="431"/>
      <c r="AG84" s="431"/>
      <c r="AH84" s="431"/>
      <c r="AI84" s="431"/>
      <c r="AJ84" s="431"/>
      <c r="AK84" s="431"/>
      <c r="AL84" s="431"/>
      <c r="AM84" s="431"/>
      <c r="AN84" s="431"/>
      <c r="AO84" s="431"/>
      <c r="AP84" s="431"/>
      <c r="AQ84" s="431"/>
      <c r="AR84" s="431"/>
      <c r="AS84" s="431"/>
      <c r="AT84" s="431"/>
    </row>
    <row r="85" spans="1:46" s="492" customFormat="1" ht="30">
      <c r="A85" s="454" t="s">
        <v>326</v>
      </c>
      <c r="B85" s="454" t="s">
        <v>264</v>
      </c>
      <c r="C85" s="431"/>
      <c r="D85" s="455" t="s">
        <v>231</v>
      </c>
      <c r="E85" s="431" t="s">
        <v>220</v>
      </c>
      <c r="F85" s="431" t="s">
        <v>534</v>
      </c>
      <c r="G85" s="431"/>
      <c r="H85" s="431">
        <v>87078171993</v>
      </c>
      <c r="I85" s="431" t="s">
        <v>535</v>
      </c>
      <c r="J85" s="431"/>
      <c r="K85" s="456"/>
      <c r="L85" s="456"/>
      <c r="M85" s="456"/>
      <c r="N85" s="456"/>
      <c r="O85" s="456"/>
      <c r="P85" s="456"/>
      <c r="Q85" s="456"/>
      <c r="R85" s="456"/>
      <c r="S85" s="431">
        <v>8630</v>
      </c>
      <c r="T85" s="431">
        <v>11008</v>
      </c>
      <c r="U85" s="431"/>
      <c r="V85" s="431">
        <v>1750</v>
      </c>
      <c r="W85" s="431"/>
      <c r="X85" s="431"/>
      <c r="Y85" s="431"/>
      <c r="Z85" s="431"/>
      <c r="AA85" s="431"/>
      <c r="AB85" s="546"/>
      <c r="AC85" s="546"/>
      <c r="AD85" s="431"/>
      <c r="AE85" s="431"/>
      <c r="AF85" s="431"/>
      <c r="AG85" s="431"/>
      <c r="AH85" s="431"/>
      <c r="AI85" s="431"/>
      <c r="AJ85" s="431"/>
      <c r="AK85" s="431"/>
      <c r="AL85" s="431"/>
      <c r="AM85" s="431"/>
      <c r="AN85" s="431"/>
      <c r="AO85" s="431"/>
      <c r="AP85" s="431"/>
      <c r="AQ85" s="431"/>
      <c r="AR85" s="431"/>
      <c r="AS85" s="431"/>
      <c r="AT85" s="431"/>
    </row>
    <row r="86" spans="1:46" s="500" customFormat="1" ht="30">
      <c r="A86" s="429" t="s">
        <v>327</v>
      </c>
      <c r="B86" s="388" t="s">
        <v>265</v>
      </c>
      <c r="C86" s="502" t="s">
        <v>523</v>
      </c>
      <c r="D86" s="376" t="s">
        <v>231</v>
      </c>
      <c r="E86" s="502" t="s">
        <v>220</v>
      </c>
      <c r="F86" s="502" t="s">
        <v>266</v>
      </c>
      <c r="G86" s="502" t="s">
        <v>704</v>
      </c>
      <c r="H86" s="502"/>
      <c r="I86" s="502" t="s">
        <v>267</v>
      </c>
      <c r="J86" s="502"/>
      <c r="K86" s="514"/>
      <c r="L86" s="514"/>
      <c r="M86" s="514"/>
      <c r="N86" s="514"/>
      <c r="O86" s="514"/>
      <c r="P86" s="514"/>
      <c r="Q86" s="514"/>
      <c r="R86" s="514"/>
      <c r="S86" s="502">
        <v>4488</v>
      </c>
      <c r="T86" s="502"/>
      <c r="U86" s="502"/>
      <c r="V86" s="502"/>
      <c r="W86" s="502"/>
      <c r="X86" s="502"/>
      <c r="Y86" s="502"/>
      <c r="Z86" s="502"/>
      <c r="AA86" s="502"/>
      <c r="AB86" s="587"/>
      <c r="AC86" s="549"/>
      <c r="AD86" s="502"/>
      <c r="AE86" s="502"/>
      <c r="AF86" s="502"/>
      <c r="AG86" s="502"/>
      <c r="AH86" s="502"/>
      <c r="AI86" s="502"/>
      <c r="AJ86" s="502"/>
      <c r="AK86" s="502"/>
      <c r="AL86" s="502"/>
      <c r="AM86" s="502"/>
      <c r="AN86" s="502"/>
      <c r="AO86" s="502"/>
      <c r="AP86" s="502"/>
      <c r="AQ86" s="502"/>
      <c r="AR86" s="502"/>
      <c r="AS86" s="502"/>
      <c r="AT86" s="502"/>
    </row>
    <row r="87" spans="1:46" s="465" customFormat="1" ht="15">
      <c r="A87" s="454" t="s">
        <v>712</v>
      </c>
      <c r="B87" s="458" t="s">
        <v>706</v>
      </c>
      <c r="C87" s="431"/>
      <c r="D87" s="455"/>
      <c r="E87" s="431"/>
      <c r="F87" s="431"/>
      <c r="G87" s="431"/>
      <c r="H87" s="431"/>
      <c r="I87" s="431"/>
      <c r="J87" s="431"/>
      <c r="K87" s="456"/>
      <c r="L87" s="456"/>
      <c r="M87" s="456"/>
      <c r="N87" s="456"/>
      <c r="O87" s="456"/>
      <c r="P87" s="456"/>
      <c r="Q87" s="456"/>
      <c r="R87" s="456"/>
      <c r="S87" s="431"/>
      <c r="T87" s="431"/>
      <c r="U87" s="431"/>
      <c r="V87" s="431"/>
      <c r="W87" s="431"/>
      <c r="X87" s="431"/>
      <c r="Y87" s="431"/>
      <c r="Z87" s="431"/>
      <c r="AA87" s="431"/>
      <c r="AB87" s="546"/>
      <c r="AC87" s="546"/>
      <c r="AD87" s="431"/>
      <c r="AE87" s="431"/>
      <c r="AF87" s="431"/>
      <c r="AG87" s="431"/>
      <c r="AH87" s="431"/>
      <c r="AI87" s="431"/>
      <c r="AJ87" s="431"/>
      <c r="AK87" s="431"/>
      <c r="AL87" s="431"/>
      <c r="AM87" s="431"/>
      <c r="AN87" s="431"/>
      <c r="AO87" s="431"/>
      <c r="AP87" s="431"/>
      <c r="AQ87" s="431"/>
      <c r="AR87" s="431"/>
      <c r="AS87" s="431"/>
      <c r="AT87" s="431"/>
    </row>
    <row r="88" spans="1:29" s="465" customFormat="1" ht="75">
      <c r="A88" s="463" t="s">
        <v>248</v>
      </c>
      <c r="B88" s="464" t="s">
        <v>228</v>
      </c>
      <c r="C88" s="463" t="s">
        <v>228</v>
      </c>
      <c r="D88" s="464" t="s">
        <v>231</v>
      </c>
      <c r="E88" s="465" t="s">
        <v>220</v>
      </c>
      <c r="F88" s="465" t="s">
        <v>524</v>
      </c>
      <c r="H88" s="465">
        <v>87752995905</v>
      </c>
      <c r="I88" s="465" t="s">
        <v>525</v>
      </c>
      <c r="K88" s="466"/>
      <c r="L88" s="466"/>
      <c r="M88" s="466"/>
      <c r="N88" s="466"/>
      <c r="O88" s="466"/>
      <c r="P88" s="466"/>
      <c r="Q88" s="466">
        <v>15972</v>
      </c>
      <c r="R88" s="466">
        <v>19488</v>
      </c>
      <c r="S88" s="465">
        <v>19512</v>
      </c>
      <c r="T88" s="465">
        <v>44167</v>
      </c>
      <c r="U88" s="465">
        <v>34615</v>
      </c>
      <c r="V88" s="465">
        <v>24365</v>
      </c>
      <c r="W88" s="465">
        <v>14935</v>
      </c>
      <c r="AB88" s="550"/>
      <c r="AC88" s="550"/>
    </row>
    <row r="89" spans="1:46" s="465" customFormat="1" ht="15">
      <c r="A89" s="454" t="s">
        <v>167</v>
      </c>
      <c r="B89" s="458" t="s">
        <v>167</v>
      </c>
      <c r="C89" s="431"/>
      <c r="D89" s="455"/>
      <c r="E89" s="431"/>
      <c r="F89" s="431"/>
      <c r="G89" s="431"/>
      <c r="H89" s="431"/>
      <c r="I89" s="431"/>
      <c r="J89" s="431"/>
      <c r="K89" s="456"/>
      <c r="L89" s="456"/>
      <c r="M89" s="456"/>
      <c r="N89" s="456"/>
      <c r="O89" s="456">
        <v>28980</v>
      </c>
      <c r="P89" s="456"/>
      <c r="Q89" s="456"/>
      <c r="R89" s="456"/>
      <c r="S89" s="431"/>
      <c r="T89" s="431"/>
      <c r="U89" s="431"/>
      <c r="V89" s="431"/>
      <c r="W89" s="431"/>
      <c r="X89" s="431"/>
      <c r="Y89" s="431"/>
      <c r="Z89" s="431"/>
      <c r="AA89" s="431"/>
      <c r="AB89" s="546"/>
      <c r="AC89" s="546"/>
      <c r="AD89" s="431"/>
      <c r="AE89" s="431"/>
      <c r="AF89" s="431"/>
      <c r="AG89" s="431"/>
      <c r="AH89" s="431"/>
      <c r="AI89" s="431"/>
      <c r="AJ89" s="431"/>
      <c r="AK89" s="431"/>
      <c r="AL89" s="431"/>
      <c r="AM89" s="431"/>
      <c r="AN89" s="431"/>
      <c r="AO89" s="431"/>
      <c r="AP89" s="431"/>
      <c r="AQ89" s="431"/>
      <c r="AR89" s="431"/>
      <c r="AS89" s="431"/>
      <c r="AT89" s="431"/>
    </row>
    <row r="90" spans="1:46" s="492" customFormat="1" ht="45">
      <c r="A90" s="454" t="s">
        <v>612</v>
      </c>
      <c r="B90" s="458"/>
      <c r="C90" s="431" t="s">
        <v>603</v>
      </c>
      <c r="D90" s="455"/>
      <c r="E90" s="431" t="s">
        <v>393</v>
      </c>
      <c r="F90" s="431" t="s">
        <v>337</v>
      </c>
      <c r="G90" s="431" t="s">
        <v>618</v>
      </c>
      <c r="H90" s="431" t="s">
        <v>619</v>
      </c>
      <c r="I90" s="431" t="s">
        <v>620</v>
      </c>
      <c r="J90" s="431"/>
      <c r="K90" s="456"/>
      <c r="L90" s="456"/>
      <c r="M90" s="456"/>
      <c r="N90" s="456"/>
      <c r="O90" s="456"/>
      <c r="P90" s="456"/>
      <c r="Q90" s="456"/>
      <c r="R90" s="456"/>
      <c r="S90" s="431"/>
      <c r="T90" s="431"/>
      <c r="U90" s="431"/>
      <c r="V90" s="431"/>
      <c r="W90" s="431"/>
      <c r="X90" s="431"/>
      <c r="Y90" s="431"/>
      <c r="Z90" s="431"/>
      <c r="AA90" s="431"/>
      <c r="AB90" s="546"/>
      <c r="AC90" s="546"/>
      <c r="AD90" s="431"/>
      <c r="AE90" s="431"/>
      <c r="AF90" s="431"/>
      <c r="AG90" s="431"/>
      <c r="AH90" s="431"/>
      <c r="AI90" s="431"/>
      <c r="AJ90" s="431"/>
      <c r="AK90" s="431"/>
      <c r="AL90" s="431"/>
      <c r="AM90" s="431"/>
      <c r="AN90" s="431"/>
      <c r="AO90" s="431"/>
      <c r="AP90" s="431"/>
      <c r="AQ90" s="431"/>
      <c r="AR90" s="431"/>
      <c r="AS90" s="431"/>
      <c r="AT90" s="431"/>
    </row>
    <row r="91" spans="1:46" s="431" customFormat="1" ht="30">
      <c r="A91" s="569" t="s">
        <v>638</v>
      </c>
      <c r="B91" s="570" t="s">
        <v>607</v>
      </c>
      <c r="C91" s="569"/>
      <c r="D91" s="500"/>
      <c r="E91" s="500" t="s">
        <v>291</v>
      </c>
      <c r="F91" s="500" t="s">
        <v>679</v>
      </c>
      <c r="G91" s="500"/>
      <c r="H91" s="500">
        <v>87072613495</v>
      </c>
      <c r="I91" s="500" t="s">
        <v>516</v>
      </c>
      <c r="J91" s="575" t="s">
        <v>678</v>
      </c>
      <c r="K91" s="512"/>
      <c r="L91" s="512"/>
      <c r="M91" s="512"/>
      <c r="N91" s="512"/>
      <c r="O91" s="512"/>
      <c r="P91" s="512"/>
      <c r="Q91" s="513"/>
      <c r="R91" s="512"/>
      <c r="S91" s="500"/>
      <c r="T91" s="500"/>
      <c r="U91" s="500"/>
      <c r="V91" s="500"/>
      <c r="W91" s="500"/>
      <c r="X91" s="500"/>
      <c r="Y91" s="500"/>
      <c r="Z91" s="500"/>
      <c r="AA91" s="500"/>
      <c r="AB91" s="551"/>
      <c r="AC91" s="551"/>
      <c r="AD91" s="500"/>
      <c r="AE91" s="500"/>
      <c r="AF91" s="500"/>
      <c r="AG91" s="500"/>
      <c r="AH91" s="500"/>
      <c r="AI91" s="500"/>
      <c r="AJ91" s="500"/>
      <c r="AK91" s="500"/>
      <c r="AL91" s="500"/>
      <c r="AM91" s="500"/>
      <c r="AN91" s="500"/>
      <c r="AO91" s="500"/>
      <c r="AP91" s="500"/>
      <c r="AQ91" s="500"/>
      <c r="AR91" s="500"/>
      <c r="AS91" s="500"/>
      <c r="AT91" s="500"/>
    </row>
    <row r="92" spans="1:46" s="431" customFormat="1" ht="30">
      <c r="A92" s="463" t="s">
        <v>249</v>
      </c>
      <c r="B92" s="518" t="s">
        <v>168</v>
      </c>
      <c r="C92" s="463" t="s">
        <v>168</v>
      </c>
      <c r="D92" s="464" t="s">
        <v>84</v>
      </c>
      <c r="E92" s="465" t="s">
        <v>221</v>
      </c>
      <c r="F92" s="465" t="s">
        <v>204</v>
      </c>
      <c r="G92" s="465"/>
      <c r="H92" s="465"/>
      <c r="I92" s="465"/>
      <c r="J92" s="465"/>
      <c r="K92" s="466"/>
      <c r="L92" s="466"/>
      <c r="M92" s="466"/>
      <c r="N92" s="466"/>
      <c r="O92" s="466"/>
      <c r="P92" s="466">
        <v>247520</v>
      </c>
      <c r="Q92" s="466">
        <v>133215</v>
      </c>
      <c r="R92" s="466"/>
      <c r="S92" s="465"/>
      <c r="T92" s="465"/>
      <c r="U92" s="465">
        <v>148797</v>
      </c>
      <c r="V92" s="465"/>
      <c r="W92" s="465"/>
      <c r="X92" s="465"/>
      <c r="Y92" s="465"/>
      <c r="Z92" s="465"/>
      <c r="AA92" s="465"/>
      <c r="AB92" s="550"/>
      <c r="AC92" s="550"/>
      <c r="AD92" s="465"/>
      <c r="AE92" s="465"/>
      <c r="AF92" s="465"/>
      <c r="AG92" s="465"/>
      <c r="AH92" s="465"/>
      <c r="AI92" s="465"/>
      <c r="AJ92" s="465"/>
      <c r="AK92" s="465"/>
      <c r="AL92" s="465"/>
      <c r="AM92" s="465"/>
      <c r="AN92" s="465"/>
      <c r="AO92" s="465"/>
      <c r="AP92" s="465"/>
      <c r="AQ92" s="465"/>
      <c r="AR92" s="465"/>
      <c r="AS92" s="465"/>
      <c r="AT92" s="465"/>
    </row>
    <row r="93" spans="1:46" s="492" customFormat="1" ht="30">
      <c r="A93" s="463" t="s">
        <v>281</v>
      </c>
      <c r="B93" s="518" t="s">
        <v>174</v>
      </c>
      <c r="C93" s="464" t="s">
        <v>174</v>
      </c>
      <c r="D93" s="464" t="s">
        <v>84</v>
      </c>
      <c r="E93" s="465" t="s">
        <v>221</v>
      </c>
      <c r="F93" s="465"/>
      <c r="G93" s="465"/>
      <c r="H93" s="465"/>
      <c r="I93" s="465"/>
      <c r="J93" s="465"/>
      <c r="K93" s="466"/>
      <c r="L93" s="466"/>
      <c r="M93" s="466"/>
      <c r="N93" s="466"/>
      <c r="O93" s="466"/>
      <c r="P93" s="466">
        <v>66900</v>
      </c>
      <c r="Q93" s="466"/>
      <c r="R93" s="466">
        <v>263040</v>
      </c>
      <c r="S93" s="465">
        <v>162000</v>
      </c>
      <c r="T93" s="465">
        <v>11700</v>
      </c>
      <c r="U93" s="465"/>
      <c r="V93" s="465"/>
      <c r="W93" s="465">
        <v>222900</v>
      </c>
      <c r="X93" s="465"/>
      <c r="Y93" s="465"/>
      <c r="Z93" s="465"/>
      <c r="AA93" s="465"/>
      <c r="AB93" s="550"/>
      <c r="AC93" s="550"/>
      <c r="AD93" s="465"/>
      <c r="AE93" s="465"/>
      <c r="AF93" s="465"/>
      <c r="AG93" s="465"/>
      <c r="AH93" s="465"/>
      <c r="AI93" s="465"/>
      <c r="AJ93" s="465"/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</row>
    <row r="94" spans="1:46" s="431" customFormat="1" ht="15">
      <c r="A94" s="463" t="s">
        <v>477</v>
      </c>
      <c r="B94" s="518" t="s">
        <v>455</v>
      </c>
      <c r="C94" s="464"/>
      <c r="D94" s="464" t="s">
        <v>84</v>
      </c>
      <c r="E94" s="465"/>
      <c r="F94" s="465"/>
      <c r="G94" s="465"/>
      <c r="H94" s="465"/>
      <c r="I94" s="465"/>
      <c r="J94" s="465"/>
      <c r="K94" s="466"/>
      <c r="L94" s="466"/>
      <c r="M94" s="466"/>
      <c r="N94" s="466"/>
      <c r="O94" s="466"/>
      <c r="P94" s="466"/>
      <c r="Q94" s="466"/>
      <c r="R94" s="466"/>
      <c r="S94" s="465"/>
      <c r="T94" s="465"/>
      <c r="U94" s="465"/>
      <c r="V94" s="465"/>
      <c r="W94" s="465">
        <v>36900</v>
      </c>
      <c r="X94" s="465"/>
      <c r="Y94" s="465"/>
      <c r="Z94" s="465"/>
      <c r="AA94" s="465"/>
      <c r="AB94" s="550"/>
      <c r="AC94" s="550"/>
      <c r="AD94" s="465"/>
      <c r="AE94" s="465"/>
      <c r="AF94" s="465"/>
      <c r="AG94" s="465"/>
      <c r="AH94" s="465"/>
      <c r="AI94" s="465"/>
      <c r="AJ94" s="465"/>
      <c r="AK94" s="465"/>
      <c r="AL94" s="465"/>
      <c r="AM94" s="465"/>
      <c r="AN94" s="465"/>
      <c r="AO94" s="465"/>
      <c r="AP94" s="465"/>
      <c r="AQ94" s="465"/>
      <c r="AR94" s="465"/>
      <c r="AS94" s="465"/>
      <c r="AT94" s="465"/>
    </row>
    <row r="95" spans="1:46" s="520" customFormat="1" ht="26.25">
      <c r="A95" s="463" t="s">
        <v>328</v>
      </c>
      <c r="B95" s="518" t="s">
        <v>297</v>
      </c>
      <c r="C95" s="464" t="s">
        <v>297</v>
      </c>
      <c r="D95" s="464" t="s">
        <v>338</v>
      </c>
      <c r="E95" s="465" t="s">
        <v>218</v>
      </c>
      <c r="F95" s="465" t="s">
        <v>526</v>
      </c>
      <c r="G95" s="465"/>
      <c r="H95" s="465" t="s">
        <v>547</v>
      </c>
      <c r="I95" s="465"/>
      <c r="J95" s="465"/>
      <c r="K95" s="466"/>
      <c r="L95" s="466"/>
      <c r="M95" s="466"/>
      <c r="N95" s="466"/>
      <c r="O95" s="466"/>
      <c r="P95" s="466"/>
      <c r="Q95" s="466"/>
      <c r="R95" s="466"/>
      <c r="S95" s="465">
        <v>5120</v>
      </c>
      <c r="T95" s="465">
        <v>1216</v>
      </c>
      <c r="U95" s="465">
        <v>15380</v>
      </c>
      <c r="V95" s="465"/>
      <c r="W95" s="465">
        <v>11341</v>
      </c>
      <c r="X95" s="465"/>
      <c r="Y95" s="465"/>
      <c r="Z95" s="465"/>
      <c r="AA95" s="465"/>
      <c r="AB95" s="550"/>
      <c r="AC95" s="550"/>
      <c r="AD95" s="465"/>
      <c r="AE95" s="465"/>
      <c r="AF95" s="465"/>
      <c r="AG95" s="465"/>
      <c r="AH95" s="465"/>
      <c r="AI95" s="465"/>
      <c r="AJ95" s="465"/>
      <c r="AK95" s="465"/>
      <c r="AL95" s="465"/>
      <c r="AM95" s="465"/>
      <c r="AN95" s="465"/>
      <c r="AO95" s="465"/>
      <c r="AP95" s="465"/>
      <c r="AQ95" s="465"/>
      <c r="AR95" s="465"/>
      <c r="AS95" s="465"/>
      <c r="AT95" s="465"/>
    </row>
    <row r="96" spans="1:29" s="502" customFormat="1" ht="30">
      <c r="A96" s="428" t="s">
        <v>478</v>
      </c>
      <c r="B96" s="529" t="s">
        <v>463</v>
      </c>
      <c r="D96" s="376" t="s">
        <v>338</v>
      </c>
      <c r="G96" s="502" t="s">
        <v>494</v>
      </c>
      <c r="K96" s="514"/>
      <c r="L96" s="514"/>
      <c r="M96" s="514"/>
      <c r="N96" s="514"/>
      <c r="O96" s="514"/>
      <c r="P96" s="514"/>
      <c r="Q96" s="516"/>
      <c r="R96" s="514"/>
      <c r="W96" s="502">
        <v>12500</v>
      </c>
      <c r="AA96" s="431"/>
      <c r="AB96" s="549"/>
      <c r="AC96" s="549"/>
    </row>
    <row r="97" spans="1:46" s="520" customFormat="1" ht="15">
      <c r="A97" s="428" t="s">
        <v>486</v>
      </c>
      <c r="B97" s="529" t="s">
        <v>467</v>
      </c>
      <c r="C97" s="502"/>
      <c r="D97" s="502" t="s">
        <v>338</v>
      </c>
      <c r="E97" s="502"/>
      <c r="F97" s="502"/>
      <c r="G97" s="502"/>
      <c r="H97" s="502"/>
      <c r="I97" s="502"/>
      <c r="J97" s="502"/>
      <c r="K97" s="514"/>
      <c r="L97" s="514"/>
      <c r="M97" s="514"/>
      <c r="N97" s="514"/>
      <c r="O97" s="514"/>
      <c r="P97" s="514"/>
      <c r="Q97" s="516"/>
      <c r="R97" s="514"/>
      <c r="S97" s="502"/>
      <c r="T97" s="502"/>
      <c r="U97" s="502"/>
      <c r="V97" s="502"/>
      <c r="W97" s="502"/>
      <c r="X97" s="502">
        <v>49500</v>
      </c>
      <c r="Y97" s="502"/>
      <c r="Z97" s="502"/>
      <c r="AA97" s="431"/>
      <c r="AB97" s="549"/>
      <c r="AC97" s="549"/>
      <c r="AD97" s="502"/>
      <c r="AE97" s="502"/>
      <c r="AF97" s="502"/>
      <c r="AG97" s="502"/>
      <c r="AH97" s="502"/>
      <c r="AI97" s="502"/>
      <c r="AJ97" s="502"/>
      <c r="AK97" s="502"/>
      <c r="AL97" s="502"/>
      <c r="AM97" s="502"/>
      <c r="AN97" s="502"/>
      <c r="AO97" s="502"/>
      <c r="AP97" s="502"/>
      <c r="AQ97" s="502"/>
      <c r="AR97" s="502"/>
      <c r="AS97" s="502"/>
      <c r="AT97" s="502"/>
    </row>
    <row r="98" spans="1:46" s="560" customFormat="1" ht="15">
      <c r="A98" s="454" t="s">
        <v>388</v>
      </c>
      <c r="B98" s="454" t="s">
        <v>379</v>
      </c>
      <c r="C98" s="454" t="s">
        <v>379</v>
      </c>
      <c r="D98" s="455" t="s">
        <v>84</v>
      </c>
      <c r="E98" s="431" t="s">
        <v>218</v>
      </c>
      <c r="F98" s="431"/>
      <c r="G98" s="431"/>
      <c r="H98" s="431"/>
      <c r="I98" s="431"/>
      <c r="J98" s="431"/>
      <c r="K98" s="456"/>
      <c r="L98" s="456"/>
      <c r="M98" s="456"/>
      <c r="N98" s="456"/>
      <c r="O98" s="456"/>
      <c r="P98" s="456"/>
      <c r="Q98" s="456"/>
      <c r="R98" s="456"/>
      <c r="S98" s="431"/>
      <c r="T98" s="431"/>
      <c r="U98" s="431"/>
      <c r="V98" s="431">
        <v>604000</v>
      </c>
      <c r="W98" s="431"/>
      <c r="X98" s="431"/>
      <c r="Y98" s="431"/>
      <c r="Z98" s="431"/>
      <c r="AA98" s="431"/>
      <c r="AB98" s="546"/>
      <c r="AC98" s="546"/>
      <c r="AD98" s="431"/>
      <c r="AE98" s="431"/>
      <c r="AF98" s="431"/>
      <c r="AG98" s="431"/>
      <c r="AH98" s="431"/>
      <c r="AI98" s="431"/>
      <c r="AJ98" s="431"/>
      <c r="AK98" s="431"/>
      <c r="AL98" s="431"/>
      <c r="AM98" s="431"/>
      <c r="AN98" s="431"/>
      <c r="AO98" s="431"/>
      <c r="AP98" s="431"/>
      <c r="AQ98" s="431"/>
      <c r="AR98" s="431"/>
      <c r="AS98" s="431"/>
      <c r="AT98" s="431"/>
    </row>
    <row r="99" spans="1:46" s="495" customFormat="1" ht="30">
      <c r="A99" s="454" t="s">
        <v>372</v>
      </c>
      <c r="B99" s="454" t="s">
        <v>358</v>
      </c>
      <c r="C99" s="454" t="s">
        <v>358</v>
      </c>
      <c r="D99" s="431" t="s">
        <v>338</v>
      </c>
      <c r="E99" s="431"/>
      <c r="F99" s="502" t="s">
        <v>548</v>
      </c>
      <c r="G99" s="502"/>
      <c r="H99" s="502" t="s">
        <v>549</v>
      </c>
      <c r="I99" s="502" t="s">
        <v>550</v>
      </c>
      <c r="J99" s="431"/>
      <c r="K99" s="456"/>
      <c r="L99" s="456"/>
      <c r="M99" s="456"/>
      <c r="N99" s="456"/>
      <c r="O99" s="456"/>
      <c r="P99" s="456"/>
      <c r="Q99" s="488"/>
      <c r="R99" s="456"/>
      <c r="S99" s="431"/>
      <c r="T99" s="431"/>
      <c r="U99" s="431">
        <v>78390</v>
      </c>
      <c r="V99" s="431"/>
      <c r="W99" s="431"/>
      <c r="X99" s="431"/>
      <c r="Y99" s="431"/>
      <c r="Z99" s="431"/>
      <c r="AA99" s="431"/>
      <c r="AB99" s="546"/>
      <c r="AC99" s="546"/>
      <c r="AD99" s="431"/>
      <c r="AE99" s="431"/>
      <c r="AF99" s="431"/>
      <c r="AG99" s="431"/>
      <c r="AH99" s="431"/>
      <c r="AI99" s="431"/>
      <c r="AJ99" s="431"/>
      <c r="AK99" s="431"/>
      <c r="AL99" s="431"/>
      <c r="AM99" s="431"/>
      <c r="AN99" s="431"/>
      <c r="AO99" s="431"/>
      <c r="AP99" s="431"/>
      <c r="AQ99" s="431"/>
      <c r="AR99" s="431"/>
      <c r="AS99" s="431"/>
      <c r="AT99" s="431"/>
    </row>
    <row r="100" spans="1:46" s="477" customFormat="1" ht="30">
      <c r="A100" s="429" t="s">
        <v>639</v>
      </c>
      <c r="B100" s="376" t="s">
        <v>609</v>
      </c>
      <c r="C100" s="376" t="s">
        <v>180</v>
      </c>
      <c r="D100" s="376" t="s">
        <v>84</v>
      </c>
      <c r="E100" s="502" t="s">
        <v>221</v>
      </c>
      <c r="F100" s="502"/>
      <c r="G100" s="502"/>
      <c r="H100" s="502">
        <v>87758032007</v>
      </c>
      <c r="I100" s="502" t="s">
        <v>644</v>
      </c>
      <c r="J100" s="502"/>
      <c r="K100" s="514"/>
      <c r="L100" s="514"/>
      <c r="M100" s="514"/>
      <c r="N100" s="514"/>
      <c r="O100" s="514"/>
      <c r="P100" s="514">
        <v>19200</v>
      </c>
      <c r="Q100" s="514"/>
      <c r="R100" s="514"/>
      <c r="S100" s="502"/>
      <c r="T100" s="502"/>
      <c r="U100" s="502"/>
      <c r="V100" s="502"/>
      <c r="W100" s="502"/>
      <c r="X100" s="502"/>
      <c r="Y100" s="502"/>
      <c r="Z100" s="502"/>
      <c r="AA100" s="502"/>
      <c r="AB100" s="549"/>
      <c r="AC100" s="549"/>
      <c r="AD100" s="502"/>
      <c r="AE100" s="502"/>
      <c r="AF100" s="502"/>
      <c r="AG100" s="502"/>
      <c r="AH100" s="502"/>
      <c r="AI100" s="502"/>
      <c r="AJ100" s="502"/>
      <c r="AK100" s="502"/>
      <c r="AL100" s="502"/>
      <c r="AM100" s="502"/>
      <c r="AN100" s="502"/>
      <c r="AO100" s="502"/>
      <c r="AP100" s="502"/>
      <c r="AQ100" s="502"/>
      <c r="AR100" s="502"/>
      <c r="AS100" s="502"/>
      <c r="AT100" s="502"/>
    </row>
    <row r="101" spans="1:46" s="477" customFormat="1" ht="75">
      <c r="A101" s="582" t="s">
        <v>659</v>
      </c>
      <c r="B101" s="583" t="s">
        <v>682</v>
      </c>
      <c r="C101" s="582" t="s">
        <v>683</v>
      </c>
      <c r="D101" s="584"/>
      <c r="E101" s="584" t="s">
        <v>218</v>
      </c>
      <c r="F101" s="584" t="s">
        <v>681</v>
      </c>
      <c r="G101" s="584"/>
      <c r="H101" s="584">
        <v>87017388549</v>
      </c>
      <c r="I101" s="584" t="s">
        <v>680</v>
      </c>
      <c r="J101" s="584"/>
      <c r="K101" s="585"/>
      <c r="L101" s="585"/>
      <c r="M101" s="585"/>
      <c r="N101" s="585"/>
      <c r="O101" s="585"/>
      <c r="P101" s="585"/>
      <c r="Q101" s="586"/>
      <c r="R101" s="585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8"/>
      <c r="AC101" s="588"/>
      <c r="AD101" s="584"/>
      <c r="AE101" s="584"/>
      <c r="AF101" s="584"/>
      <c r="AG101" s="584"/>
      <c r="AH101" s="584"/>
      <c r="AI101" s="584"/>
      <c r="AJ101" s="584"/>
      <c r="AK101" s="584"/>
      <c r="AL101" s="584"/>
      <c r="AM101" s="584"/>
      <c r="AN101" s="584"/>
      <c r="AO101" s="584"/>
      <c r="AP101" s="584"/>
      <c r="AQ101" s="584"/>
      <c r="AR101" s="584"/>
      <c r="AS101" s="584"/>
      <c r="AT101" s="584"/>
    </row>
    <row r="102" spans="1:46" s="492" customFormat="1" ht="30">
      <c r="A102" s="454" t="s">
        <v>389</v>
      </c>
      <c r="B102" s="458" t="s">
        <v>380</v>
      </c>
      <c r="C102" s="458" t="s">
        <v>380</v>
      </c>
      <c r="D102" s="455" t="s">
        <v>84</v>
      </c>
      <c r="E102" s="431" t="s">
        <v>392</v>
      </c>
      <c r="F102" s="431"/>
      <c r="G102" s="431"/>
      <c r="H102" s="431"/>
      <c r="I102" s="431"/>
      <c r="J102" s="431"/>
      <c r="K102" s="456"/>
      <c r="L102" s="456"/>
      <c r="M102" s="456"/>
      <c r="N102" s="456"/>
      <c r="O102" s="456"/>
      <c r="P102" s="456"/>
      <c r="Q102" s="456"/>
      <c r="R102" s="456"/>
      <c r="S102" s="431"/>
      <c r="T102" s="431"/>
      <c r="U102" s="431"/>
      <c r="V102" s="431">
        <v>15113616</v>
      </c>
      <c r="W102" s="431"/>
      <c r="X102" s="431"/>
      <c r="Y102" s="431"/>
      <c r="Z102" s="431"/>
      <c r="AA102" s="431"/>
      <c r="AB102" s="546"/>
      <c r="AC102" s="546"/>
      <c r="AD102" s="431"/>
      <c r="AE102" s="431"/>
      <c r="AF102" s="431"/>
      <c r="AG102" s="431"/>
      <c r="AH102" s="431"/>
      <c r="AI102" s="431"/>
      <c r="AJ102" s="431"/>
      <c r="AK102" s="431"/>
      <c r="AL102" s="431"/>
      <c r="AM102" s="431"/>
      <c r="AN102" s="431"/>
      <c r="AO102" s="431"/>
      <c r="AP102" s="431"/>
      <c r="AQ102" s="431"/>
      <c r="AR102" s="431"/>
      <c r="AS102" s="431"/>
      <c r="AT102" s="431"/>
    </row>
    <row r="103" spans="1:46" s="483" customFormat="1" ht="30">
      <c r="A103" s="463" t="s">
        <v>250</v>
      </c>
      <c r="B103" s="464" t="s">
        <v>69</v>
      </c>
      <c r="C103" s="464" t="s">
        <v>69</v>
      </c>
      <c r="D103" s="464" t="s">
        <v>84</v>
      </c>
      <c r="E103" s="465" t="s">
        <v>221</v>
      </c>
      <c r="F103" s="465"/>
      <c r="G103" s="465"/>
      <c r="H103" s="465"/>
      <c r="I103" s="465"/>
      <c r="J103" s="465"/>
      <c r="K103" s="466"/>
      <c r="L103" s="466"/>
      <c r="M103" s="466"/>
      <c r="N103" s="466"/>
      <c r="O103" s="466">
        <v>2850</v>
      </c>
      <c r="P103" s="466"/>
      <c r="Q103" s="466">
        <v>23040</v>
      </c>
      <c r="R103" s="466"/>
      <c r="S103" s="465"/>
      <c r="T103" s="465"/>
      <c r="U103" s="465"/>
      <c r="V103" s="465"/>
      <c r="W103" s="431"/>
      <c r="X103" s="431"/>
      <c r="Y103" s="431"/>
      <c r="Z103" s="431"/>
      <c r="AA103" s="431"/>
      <c r="AB103" s="546"/>
      <c r="AC103" s="546"/>
      <c r="AD103" s="431"/>
      <c r="AE103" s="431"/>
      <c r="AF103" s="431"/>
      <c r="AG103" s="431"/>
      <c r="AH103" s="431"/>
      <c r="AI103" s="431"/>
      <c r="AJ103" s="431"/>
      <c r="AK103" s="431"/>
      <c r="AL103" s="431"/>
      <c r="AM103" s="431"/>
      <c r="AN103" s="431"/>
      <c r="AO103" s="431"/>
      <c r="AP103" s="431"/>
      <c r="AQ103" s="431"/>
      <c r="AR103" s="431"/>
      <c r="AS103" s="431"/>
      <c r="AT103" s="431"/>
    </row>
    <row r="104" spans="1:46" s="560" customFormat="1" ht="45">
      <c r="A104" s="482" t="s">
        <v>691</v>
      </c>
      <c r="B104" s="482" t="s">
        <v>696</v>
      </c>
      <c r="C104" s="482"/>
      <c r="D104" s="483"/>
      <c r="E104" s="483"/>
      <c r="F104" s="483" t="s">
        <v>582</v>
      </c>
      <c r="G104" s="483"/>
      <c r="H104" s="483">
        <v>87772399137</v>
      </c>
      <c r="I104" s="483" t="s">
        <v>492</v>
      </c>
      <c r="J104" s="483"/>
      <c r="K104" s="484"/>
      <c r="L104" s="484"/>
      <c r="M104" s="484"/>
      <c r="N104" s="484"/>
      <c r="O104" s="484"/>
      <c r="P104" s="484"/>
      <c r="Q104" s="489"/>
      <c r="R104" s="484"/>
      <c r="S104" s="483"/>
      <c r="T104" s="483"/>
      <c r="U104" s="483"/>
      <c r="V104" s="483"/>
      <c r="W104" s="483"/>
      <c r="X104" s="483"/>
      <c r="Y104" s="483"/>
      <c r="Z104" s="483"/>
      <c r="AA104" s="483"/>
      <c r="AB104" s="556"/>
      <c r="AC104" s="556"/>
      <c r="AD104" s="431"/>
      <c r="AE104" s="483"/>
      <c r="AF104" s="483"/>
      <c r="AG104" s="483"/>
      <c r="AH104" s="483"/>
      <c r="AI104" s="483"/>
      <c r="AJ104" s="483"/>
      <c r="AK104" s="483"/>
      <c r="AL104" s="483"/>
      <c r="AM104" s="483"/>
      <c r="AN104" s="483"/>
      <c r="AO104" s="483"/>
      <c r="AP104" s="483"/>
      <c r="AQ104" s="483"/>
      <c r="AR104" s="483"/>
      <c r="AS104" s="483"/>
      <c r="AT104" s="483"/>
    </row>
    <row r="105" spans="1:46" s="465" customFormat="1" ht="30">
      <c r="A105" s="454" t="s">
        <v>487</v>
      </c>
      <c r="B105" s="458" t="s">
        <v>468</v>
      </c>
      <c r="C105" s="458" t="s">
        <v>573</v>
      </c>
      <c r="D105" s="455" t="s">
        <v>338</v>
      </c>
      <c r="E105" s="431"/>
      <c r="F105" s="431"/>
      <c r="G105" s="431" t="s">
        <v>572</v>
      </c>
      <c r="H105" s="431"/>
      <c r="I105" s="431"/>
      <c r="J105" s="431"/>
      <c r="K105" s="456"/>
      <c r="L105" s="456"/>
      <c r="M105" s="456"/>
      <c r="N105" s="456"/>
      <c r="O105" s="456"/>
      <c r="P105" s="456"/>
      <c r="Q105" s="456"/>
      <c r="R105" s="456"/>
      <c r="S105" s="431"/>
      <c r="T105" s="431"/>
      <c r="U105" s="431"/>
      <c r="V105" s="431"/>
      <c r="W105" s="431"/>
      <c r="X105" s="431">
        <v>950</v>
      </c>
      <c r="Y105" s="431"/>
      <c r="Z105" s="431"/>
      <c r="AA105" s="431"/>
      <c r="AB105" s="546"/>
      <c r="AC105" s="546"/>
      <c r="AD105" s="431"/>
      <c r="AE105" s="431"/>
      <c r="AF105" s="431"/>
      <c r="AG105" s="431"/>
      <c r="AH105" s="431"/>
      <c r="AI105" s="431"/>
      <c r="AJ105" s="431"/>
      <c r="AK105" s="431"/>
      <c r="AL105" s="431"/>
      <c r="AM105" s="431"/>
      <c r="AN105" s="431"/>
      <c r="AO105" s="431"/>
      <c r="AP105" s="431"/>
      <c r="AQ105" s="431"/>
      <c r="AR105" s="431"/>
      <c r="AS105" s="431"/>
      <c r="AT105" s="431"/>
    </row>
    <row r="106" spans="1:46" s="483" customFormat="1" ht="30">
      <c r="A106" s="557" t="s">
        <v>354</v>
      </c>
      <c r="B106" s="558" t="s">
        <v>355</v>
      </c>
      <c r="C106" s="558" t="s">
        <v>355</v>
      </c>
      <c r="D106" s="559" t="s">
        <v>231</v>
      </c>
      <c r="E106" s="560" t="s">
        <v>220</v>
      </c>
      <c r="F106" s="560" t="s">
        <v>498</v>
      </c>
      <c r="G106" s="560"/>
      <c r="H106" s="560" t="s">
        <v>499</v>
      </c>
      <c r="I106" s="560" t="s">
        <v>497</v>
      </c>
      <c r="J106" s="560"/>
      <c r="K106" s="561"/>
      <c r="L106" s="561"/>
      <c r="M106" s="561"/>
      <c r="N106" s="561"/>
      <c r="O106" s="561"/>
      <c r="P106" s="561"/>
      <c r="Q106" s="561"/>
      <c r="R106" s="561"/>
      <c r="S106" s="560"/>
      <c r="T106" s="560">
        <v>5076</v>
      </c>
      <c r="U106" s="560"/>
      <c r="V106" s="560"/>
      <c r="W106" s="560"/>
      <c r="X106" s="560"/>
      <c r="Y106" s="560"/>
      <c r="Z106" s="560"/>
      <c r="AA106" s="560"/>
      <c r="AB106" s="562"/>
      <c r="AC106" s="562"/>
      <c r="AD106" s="560"/>
      <c r="AE106" s="560"/>
      <c r="AF106" s="560"/>
      <c r="AG106" s="560"/>
      <c r="AH106" s="560"/>
      <c r="AI106" s="560"/>
      <c r="AJ106" s="560"/>
      <c r="AK106" s="560"/>
      <c r="AL106" s="560"/>
      <c r="AM106" s="560"/>
      <c r="AN106" s="560"/>
      <c r="AO106" s="560"/>
      <c r="AP106" s="560"/>
      <c r="AQ106" s="560"/>
      <c r="AR106" s="560"/>
      <c r="AS106" s="560"/>
      <c r="AT106" s="560"/>
    </row>
    <row r="107" spans="1:46" s="483" customFormat="1" ht="30">
      <c r="A107" s="454" t="s">
        <v>179</v>
      </c>
      <c r="B107" s="458" t="s">
        <v>179</v>
      </c>
      <c r="C107" s="458"/>
      <c r="D107" s="455" t="s">
        <v>84</v>
      </c>
      <c r="E107" s="431" t="s">
        <v>221</v>
      </c>
      <c r="F107" s="431"/>
      <c r="G107" s="431"/>
      <c r="H107" s="431"/>
      <c r="I107" s="431"/>
      <c r="J107" s="431"/>
      <c r="K107" s="456"/>
      <c r="L107" s="456"/>
      <c r="M107" s="456"/>
      <c r="N107" s="456"/>
      <c r="O107" s="456"/>
      <c r="P107" s="456">
        <v>500850</v>
      </c>
      <c r="Q107" s="456"/>
      <c r="R107" s="456"/>
      <c r="S107" s="431"/>
      <c r="T107" s="431"/>
      <c r="U107" s="431"/>
      <c r="V107" s="431"/>
      <c r="W107" s="431"/>
      <c r="X107" s="431"/>
      <c r="Y107" s="431"/>
      <c r="Z107" s="431"/>
      <c r="AA107" s="431"/>
      <c r="AB107" s="546"/>
      <c r="AC107" s="546"/>
      <c r="AD107" s="431"/>
      <c r="AE107" s="431"/>
      <c r="AF107" s="431"/>
      <c r="AG107" s="431"/>
      <c r="AH107" s="431"/>
      <c r="AI107" s="431"/>
      <c r="AJ107" s="431"/>
      <c r="AK107" s="431"/>
      <c r="AL107" s="431"/>
      <c r="AM107" s="431"/>
      <c r="AN107" s="431"/>
      <c r="AO107" s="431"/>
      <c r="AP107" s="431"/>
      <c r="AQ107" s="431"/>
      <c r="AR107" s="431"/>
      <c r="AS107" s="431"/>
      <c r="AT107" s="431"/>
    </row>
    <row r="108" spans="1:46" s="483" customFormat="1" ht="30">
      <c r="A108" s="558" t="s">
        <v>346</v>
      </c>
      <c r="B108" s="572" t="s">
        <v>50</v>
      </c>
      <c r="C108" s="572" t="s">
        <v>50</v>
      </c>
      <c r="D108" s="559" t="s">
        <v>84</v>
      </c>
      <c r="E108" s="560" t="s">
        <v>221</v>
      </c>
      <c r="F108" s="560"/>
      <c r="G108" s="560"/>
      <c r="H108" s="560"/>
      <c r="I108" s="560"/>
      <c r="J108" s="560"/>
      <c r="K108" s="561"/>
      <c r="L108" s="561"/>
      <c r="M108" s="561"/>
      <c r="N108" s="561"/>
      <c r="O108" s="561">
        <v>352000</v>
      </c>
      <c r="P108" s="561"/>
      <c r="Q108" s="561"/>
      <c r="R108" s="561"/>
      <c r="S108" s="560"/>
      <c r="T108" s="560">
        <v>135584</v>
      </c>
      <c r="U108" s="560"/>
      <c r="V108" s="560">
        <v>126180</v>
      </c>
      <c r="W108" s="560"/>
      <c r="X108" s="560"/>
      <c r="Y108" s="560"/>
      <c r="Z108" s="560"/>
      <c r="AA108" s="560"/>
      <c r="AB108" s="562"/>
      <c r="AC108" s="562"/>
      <c r="AD108" s="560"/>
      <c r="AE108" s="560"/>
      <c r="AF108" s="560"/>
      <c r="AG108" s="560"/>
      <c r="AH108" s="560"/>
      <c r="AI108" s="560"/>
      <c r="AJ108" s="560"/>
      <c r="AK108" s="560"/>
      <c r="AL108" s="560"/>
      <c r="AM108" s="560"/>
      <c r="AN108" s="560"/>
      <c r="AO108" s="560"/>
      <c r="AP108" s="560"/>
      <c r="AQ108" s="560"/>
      <c r="AR108" s="560"/>
      <c r="AS108" s="560"/>
      <c r="AT108" s="560"/>
    </row>
    <row r="109" spans="1:46" s="492" customFormat="1" ht="15">
      <c r="A109" s="463" t="s">
        <v>613</v>
      </c>
      <c r="B109" s="518" t="s">
        <v>598</v>
      </c>
      <c r="C109" s="518" t="s">
        <v>621</v>
      </c>
      <c r="D109" s="464"/>
      <c r="E109" s="465" t="s">
        <v>393</v>
      </c>
      <c r="F109" s="465" t="s">
        <v>622</v>
      </c>
      <c r="G109" s="465"/>
      <c r="H109" s="465"/>
      <c r="I109" s="465"/>
      <c r="J109" s="465"/>
      <c r="K109" s="466"/>
      <c r="L109" s="466"/>
      <c r="M109" s="466"/>
      <c r="N109" s="466"/>
      <c r="O109" s="466"/>
      <c r="P109" s="466"/>
      <c r="Q109" s="466"/>
      <c r="R109" s="466"/>
      <c r="S109" s="465"/>
      <c r="T109" s="465"/>
      <c r="U109" s="465"/>
      <c r="V109" s="465"/>
      <c r="W109" s="465"/>
      <c r="X109" s="465"/>
      <c r="Y109" s="465"/>
      <c r="Z109" s="465"/>
      <c r="AA109" s="465"/>
      <c r="AB109" s="550"/>
      <c r="AC109" s="550"/>
      <c r="AD109" s="465"/>
      <c r="AE109" s="465"/>
      <c r="AF109" s="465"/>
      <c r="AG109" s="465"/>
      <c r="AH109" s="465"/>
      <c r="AI109" s="465"/>
      <c r="AJ109" s="465"/>
      <c r="AK109" s="465"/>
      <c r="AL109" s="465"/>
      <c r="AM109" s="465"/>
      <c r="AN109" s="465"/>
      <c r="AO109" s="465"/>
      <c r="AP109" s="465"/>
      <c r="AQ109" s="465"/>
      <c r="AR109" s="465"/>
      <c r="AS109" s="465"/>
      <c r="AT109" s="465"/>
    </row>
    <row r="110" spans="1:30" s="483" customFormat="1" ht="30">
      <c r="A110" s="482" t="s">
        <v>692</v>
      </c>
      <c r="B110" s="482" t="s">
        <v>686</v>
      </c>
      <c r="C110" s="482" t="s">
        <v>686</v>
      </c>
      <c r="E110" s="483" t="s">
        <v>218</v>
      </c>
      <c r="H110" s="483">
        <v>87770026575</v>
      </c>
      <c r="I110" s="483" t="s">
        <v>515</v>
      </c>
      <c r="J110" s="498" t="s">
        <v>697</v>
      </c>
      <c r="K110" s="484"/>
      <c r="L110" s="484"/>
      <c r="M110" s="484"/>
      <c r="N110" s="484"/>
      <c r="O110" s="484"/>
      <c r="P110" s="484"/>
      <c r="Q110" s="489"/>
      <c r="R110" s="484"/>
      <c r="AB110" s="556"/>
      <c r="AC110" s="556"/>
      <c r="AD110" s="431"/>
    </row>
    <row r="111" spans="1:46" s="483" customFormat="1" ht="15">
      <c r="A111" s="454" t="s">
        <v>282</v>
      </c>
      <c r="B111" s="458" t="s">
        <v>257</v>
      </c>
      <c r="C111" s="431"/>
      <c r="D111" s="455" t="s">
        <v>82</v>
      </c>
      <c r="E111" s="431" t="s">
        <v>218</v>
      </c>
      <c r="F111" s="431"/>
      <c r="G111" s="431"/>
      <c r="H111" s="431"/>
      <c r="I111" s="431"/>
      <c r="J111" s="431"/>
      <c r="K111" s="456"/>
      <c r="L111" s="456"/>
      <c r="M111" s="456"/>
      <c r="N111" s="456"/>
      <c r="O111" s="456"/>
      <c r="P111" s="456"/>
      <c r="Q111" s="488"/>
      <c r="R111" s="456">
        <v>22200</v>
      </c>
      <c r="S111" s="431"/>
      <c r="T111" s="431"/>
      <c r="U111" s="431"/>
      <c r="V111" s="431"/>
      <c r="W111" s="431"/>
      <c r="X111" s="431"/>
      <c r="Y111" s="431"/>
      <c r="Z111" s="431"/>
      <c r="AA111" s="431"/>
      <c r="AB111" s="546"/>
      <c r="AC111" s="546"/>
      <c r="AD111" s="431"/>
      <c r="AE111" s="431"/>
      <c r="AF111" s="431"/>
      <c r="AG111" s="431"/>
      <c r="AH111" s="431"/>
      <c r="AI111" s="431"/>
      <c r="AJ111" s="431"/>
      <c r="AK111" s="431"/>
      <c r="AL111" s="431"/>
      <c r="AM111" s="431"/>
      <c r="AN111" s="431"/>
      <c r="AO111" s="431"/>
      <c r="AP111" s="431"/>
      <c r="AQ111" s="431"/>
      <c r="AR111" s="431"/>
      <c r="AS111" s="431"/>
      <c r="AT111" s="431"/>
    </row>
    <row r="112" spans="1:46" s="517" customFormat="1" ht="60">
      <c r="A112" s="579" t="s">
        <v>390</v>
      </c>
      <c r="B112" s="579" t="s">
        <v>382</v>
      </c>
      <c r="C112" s="576" t="s">
        <v>528</v>
      </c>
      <c r="D112" s="580" t="s">
        <v>82</v>
      </c>
      <c r="E112" s="576" t="s">
        <v>394</v>
      </c>
      <c r="F112" s="576" t="s">
        <v>529</v>
      </c>
      <c r="G112" s="576"/>
      <c r="H112" s="576"/>
      <c r="I112" s="576" t="s">
        <v>513</v>
      </c>
      <c r="J112" s="576"/>
      <c r="K112" s="577"/>
      <c r="L112" s="577"/>
      <c r="M112" s="577"/>
      <c r="N112" s="577"/>
      <c r="O112" s="577"/>
      <c r="P112" s="577"/>
      <c r="Q112" s="577"/>
      <c r="R112" s="577"/>
      <c r="S112" s="576"/>
      <c r="T112" s="576"/>
      <c r="U112" s="576"/>
      <c r="V112" s="576">
        <v>1225800</v>
      </c>
      <c r="W112" s="576"/>
      <c r="X112" s="576"/>
      <c r="Y112" s="576"/>
      <c r="Z112" s="576"/>
      <c r="AA112" s="581"/>
      <c r="AB112" s="578"/>
      <c r="AC112" s="578"/>
      <c r="AD112" s="576"/>
      <c r="AE112" s="576"/>
      <c r="AF112" s="576"/>
      <c r="AG112" s="576"/>
      <c r="AH112" s="576"/>
      <c r="AI112" s="576"/>
      <c r="AJ112" s="576"/>
      <c r="AK112" s="576"/>
      <c r="AL112" s="576"/>
      <c r="AM112" s="576"/>
      <c r="AN112" s="576"/>
      <c r="AO112" s="576"/>
      <c r="AP112" s="576"/>
      <c r="AQ112" s="576"/>
      <c r="AR112" s="576"/>
      <c r="AS112" s="576"/>
      <c r="AT112" s="576"/>
    </row>
    <row r="113" spans="1:46" s="477" customFormat="1" ht="15">
      <c r="A113" s="454" t="s">
        <v>347</v>
      </c>
      <c r="B113" s="454" t="s">
        <v>307</v>
      </c>
      <c r="C113" s="455"/>
      <c r="D113" s="455" t="s">
        <v>82</v>
      </c>
      <c r="E113" s="431" t="s">
        <v>220</v>
      </c>
      <c r="F113" s="431"/>
      <c r="G113" s="431"/>
      <c r="H113" s="431"/>
      <c r="I113" s="431"/>
      <c r="J113" s="431"/>
      <c r="K113" s="456"/>
      <c r="L113" s="456"/>
      <c r="M113" s="456"/>
      <c r="N113" s="456"/>
      <c r="O113" s="456"/>
      <c r="P113" s="456"/>
      <c r="Q113" s="456"/>
      <c r="R113" s="456"/>
      <c r="S113" s="431"/>
      <c r="T113" s="431">
        <v>70000</v>
      </c>
      <c r="U113" s="431"/>
      <c r="V113" s="431"/>
      <c r="W113" s="431"/>
      <c r="X113" s="431"/>
      <c r="Y113" s="431"/>
      <c r="Z113" s="431"/>
      <c r="AA113" s="431"/>
      <c r="AB113" s="546"/>
      <c r="AC113" s="546"/>
      <c r="AD113" s="431"/>
      <c r="AE113" s="431"/>
      <c r="AF113" s="431"/>
      <c r="AG113" s="431"/>
      <c r="AH113" s="431"/>
      <c r="AI113" s="431"/>
      <c r="AJ113" s="431"/>
      <c r="AK113" s="431"/>
      <c r="AL113" s="431"/>
      <c r="AM113" s="431"/>
      <c r="AN113" s="431"/>
      <c r="AO113" s="431"/>
      <c r="AP113" s="431"/>
      <c r="AQ113" s="431"/>
      <c r="AR113" s="431"/>
      <c r="AS113" s="431"/>
      <c r="AT113" s="431"/>
    </row>
    <row r="114" spans="1:46" s="477" customFormat="1" ht="26.25">
      <c r="A114" s="454" t="s">
        <v>330</v>
      </c>
      <c r="B114" s="458" t="s">
        <v>268</v>
      </c>
      <c r="C114" s="458" t="s">
        <v>268</v>
      </c>
      <c r="D114" s="455" t="s">
        <v>231</v>
      </c>
      <c r="E114" s="431" t="s">
        <v>220</v>
      </c>
      <c r="F114" s="431"/>
      <c r="G114" s="431"/>
      <c r="H114" s="431">
        <v>87776760536</v>
      </c>
      <c r="I114" s="431" t="s">
        <v>269</v>
      </c>
      <c r="J114" s="431"/>
      <c r="K114" s="456"/>
      <c r="L114" s="456"/>
      <c r="M114" s="456"/>
      <c r="N114" s="456"/>
      <c r="O114" s="456"/>
      <c r="P114" s="456"/>
      <c r="Q114" s="456"/>
      <c r="R114" s="456"/>
      <c r="S114" s="431">
        <v>5100</v>
      </c>
      <c r="T114" s="431">
        <v>10891</v>
      </c>
      <c r="U114" s="431"/>
      <c r="V114" s="431"/>
      <c r="W114" s="431"/>
      <c r="X114" s="431"/>
      <c r="Y114" s="431"/>
      <c r="Z114" s="431"/>
      <c r="AA114" s="431"/>
      <c r="AB114" s="546"/>
      <c r="AC114" s="546"/>
      <c r="AD114" s="431"/>
      <c r="AE114" s="431"/>
      <c r="AF114" s="431"/>
      <c r="AG114" s="431"/>
      <c r="AH114" s="431"/>
      <c r="AI114" s="431"/>
      <c r="AJ114" s="431"/>
      <c r="AK114" s="431"/>
      <c r="AL114" s="431"/>
      <c r="AM114" s="431"/>
      <c r="AN114" s="431"/>
      <c r="AO114" s="431"/>
      <c r="AP114" s="431"/>
      <c r="AQ114" s="431"/>
      <c r="AR114" s="431"/>
      <c r="AS114" s="431"/>
      <c r="AT114" s="431"/>
    </row>
    <row r="115" spans="1:46" s="477" customFormat="1" ht="30">
      <c r="A115" s="454" t="s">
        <v>251</v>
      </c>
      <c r="B115" s="458" t="s">
        <v>209</v>
      </c>
      <c r="C115" s="458" t="s">
        <v>209</v>
      </c>
      <c r="D115" s="455" t="s">
        <v>231</v>
      </c>
      <c r="E115" s="431" t="s">
        <v>220</v>
      </c>
      <c r="F115" s="431" t="s">
        <v>530</v>
      </c>
      <c r="G115" s="431"/>
      <c r="H115" s="431">
        <v>87778308080</v>
      </c>
      <c r="I115" s="431" t="s">
        <v>531</v>
      </c>
      <c r="J115" s="431"/>
      <c r="K115" s="456"/>
      <c r="L115" s="456"/>
      <c r="M115" s="456"/>
      <c r="N115" s="456"/>
      <c r="O115" s="456"/>
      <c r="P115" s="456"/>
      <c r="Q115" s="456">
        <v>4872</v>
      </c>
      <c r="R115" s="456"/>
      <c r="S115" s="431"/>
      <c r="T115" s="431"/>
      <c r="U115" s="431"/>
      <c r="V115" s="431"/>
      <c r="W115" s="431"/>
      <c r="X115" s="431"/>
      <c r="Y115" s="431"/>
      <c r="Z115" s="431"/>
      <c r="AA115" s="431"/>
      <c r="AB115" s="546"/>
      <c r="AC115" s="546"/>
      <c r="AD115" s="431"/>
      <c r="AE115" s="431"/>
      <c r="AF115" s="431"/>
      <c r="AG115" s="431"/>
      <c r="AH115" s="431"/>
      <c r="AI115" s="431"/>
      <c r="AJ115" s="431"/>
      <c r="AK115" s="431"/>
      <c r="AL115" s="431"/>
      <c r="AM115" s="431"/>
      <c r="AN115" s="431"/>
      <c r="AO115" s="431"/>
      <c r="AP115" s="431"/>
      <c r="AQ115" s="431"/>
      <c r="AR115" s="431"/>
      <c r="AS115" s="431"/>
      <c r="AT115" s="431"/>
    </row>
    <row r="116" spans="1:46" s="517" customFormat="1" ht="15">
      <c r="A116" s="482" t="s">
        <v>693</v>
      </c>
      <c r="B116" s="482" t="s">
        <v>693</v>
      </c>
      <c r="C116" s="457"/>
      <c r="D116" s="431"/>
      <c r="E116" s="431"/>
      <c r="F116" s="431"/>
      <c r="G116" s="431"/>
      <c r="H116" s="431"/>
      <c r="I116" s="431"/>
      <c r="J116" s="431"/>
      <c r="K116" s="456"/>
      <c r="L116" s="456"/>
      <c r="M116" s="456"/>
      <c r="N116" s="456"/>
      <c r="O116" s="456"/>
      <c r="P116" s="456"/>
      <c r="Q116" s="488"/>
      <c r="R116" s="456"/>
      <c r="S116" s="431"/>
      <c r="T116" s="431"/>
      <c r="U116" s="431"/>
      <c r="V116" s="431"/>
      <c r="W116" s="431"/>
      <c r="X116" s="431"/>
      <c r="Y116" s="431"/>
      <c r="Z116" s="431"/>
      <c r="AA116" s="431"/>
      <c r="AB116" s="546"/>
      <c r="AC116" s="546"/>
      <c r="AD116" s="431"/>
      <c r="AE116" s="431"/>
      <c r="AF116" s="431"/>
      <c r="AG116" s="431"/>
      <c r="AH116" s="431"/>
      <c r="AI116" s="431"/>
      <c r="AJ116" s="431"/>
      <c r="AK116" s="431"/>
      <c r="AL116" s="431"/>
      <c r="AM116" s="431"/>
      <c r="AN116" s="431"/>
      <c r="AO116" s="431"/>
      <c r="AP116" s="431"/>
      <c r="AQ116" s="431"/>
      <c r="AR116" s="431"/>
      <c r="AS116" s="431"/>
      <c r="AT116" s="431"/>
    </row>
    <row r="117" spans="1:46" s="477" customFormat="1" ht="30">
      <c r="A117" s="428" t="s">
        <v>640</v>
      </c>
      <c r="B117" s="531" t="s">
        <v>608</v>
      </c>
      <c r="C117" s="428" t="s">
        <v>608</v>
      </c>
      <c r="D117" s="502"/>
      <c r="E117" s="502"/>
      <c r="F117" s="502" t="s">
        <v>698</v>
      </c>
      <c r="G117" s="502"/>
      <c r="H117" s="502"/>
      <c r="I117" s="502"/>
      <c r="J117" s="502"/>
      <c r="K117" s="514"/>
      <c r="L117" s="514"/>
      <c r="M117" s="514"/>
      <c r="N117" s="514"/>
      <c r="O117" s="514"/>
      <c r="P117" s="514"/>
      <c r="Q117" s="516"/>
      <c r="R117" s="514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49"/>
      <c r="AC117" s="549"/>
      <c r="AD117" s="502"/>
      <c r="AE117" s="502"/>
      <c r="AF117" s="502"/>
      <c r="AG117" s="502"/>
      <c r="AH117" s="502"/>
      <c r="AI117" s="502"/>
      <c r="AJ117" s="502"/>
      <c r="AK117" s="502"/>
      <c r="AL117" s="502"/>
      <c r="AM117" s="502"/>
      <c r="AN117" s="502"/>
      <c r="AO117" s="502"/>
      <c r="AP117" s="502"/>
      <c r="AQ117" s="502"/>
      <c r="AR117" s="502"/>
      <c r="AS117" s="502"/>
      <c r="AT117" s="502"/>
    </row>
    <row r="118" spans="1:46" s="477" customFormat="1" ht="15">
      <c r="A118" s="428" t="s">
        <v>480</v>
      </c>
      <c r="B118" s="529" t="s">
        <v>399</v>
      </c>
      <c r="C118" s="502" t="s">
        <v>338</v>
      </c>
      <c r="D118" s="502" t="s">
        <v>338</v>
      </c>
      <c r="E118" s="502"/>
      <c r="F118" s="502"/>
      <c r="G118" s="502"/>
      <c r="H118" s="502"/>
      <c r="I118" s="502"/>
      <c r="J118" s="502"/>
      <c r="K118" s="514"/>
      <c r="L118" s="514"/>
      <c r="M118" s="514"/>
      <c r="N118" s="514"/>
      <c r="O118" s="514"/>
      <c r="P118" s="514"/>
      <c r="Q118" s="516"/>
      <c r="R118" s="514"/>
      <c r="S118" s="502"/>
      <c r="T118" s="502"/>
      <c r="U118" s="502"/>
      <c r="V118" s="502"/>
      <c r="W118" s="502">
        <v>4720</v>
      </c>
      <c r="X118" s="502">
        <v>1720</v>
      </c>
      <c r="Y118" s="502"/>
      <c r="Z118" s="502"/>
      <c r="AA118" s="431"/>
      <c r="AB118" s="549"/>
      <c r="AC118" s="549"/>
      <c r="AD118" s="502"/>
      <c r="AE118" s="502"/>
      <c r="AF118" s="502"/>
      <c r="AG118" s="502"/>
      <c r="AH118" s="502"/>
      <c r="AI118" s="502"/>
      <c r="AJ118" s="502"/>
      <c r="AK118" s="502"/>
      <c r="AL118" s="502"/>
      <c r="AM118" s="502"/>
      <c r="AN118" s="502"/>
      <c r="AO118" s="502"/>
      <c r="AP118" s="502"/>
      <c r="AQ118" s="502"/>
      <c r="AR118" s="502"/>
      <c r="AS118" s="502"/>
      <c r="AT118" s="502"/>
    </row>
    <row r="119" spans="1:46" s="517" customFormat="1" ht="30">
      <c r="A119" s="429" t="s">
        <v>252</v>
      </c>
      <c r="B119" s="388" t="s">
        <v>133</v>
      </c>
      <c r="C119" s="502"/>
      <c r="D119" s="376" t="s">
        <v>231</v>
      </c>
      <c r="E119" s="502" t="s">
        <v>221</v>
      </c>
      <c r="F119" s="502"/>
      <c r="G119" s="502"/>
      <c r="H119" s="502">
        <v>87776668823</v>
      </c>
      <c r="I119" s="502"/>
      <c r="J119" s="502"/>
      <c r="K119" s="514"/>
      <c r="L119" s="514"/>
      <c r="M119" s="514"/>
      <c r="N119" s="514"/>
      <c r="O119" s="514">
        <v>55500</v>
      </c>
      <c r="P119" s="514"/>
      <c r="Q119" s="514">
        <v>11100</v>
      </c>
      <c r="R119" s="514"/>
      <c r="S119" s="502"/>
      <c r="T119" s="502"/>
      <c r="U119" s="502"/>
      <c r="V119" s="502"/>
      <c r="W119" s="502"/>
      <c r="X119" s="502"/>
      <c r="Y119" s="502"/>
      <c r="Z119" s="502"/>
      <c r="AA119" s="431"/>
      <c r="AB119" s="549"/>
      <c r="AC119" s="549"/>
      <c r="AD119" s="502"/>
      <c r="AE119" s="502"/>
      <c r="AF119" s="502"/>
      <c r="AG119" s="502"/>
      <c r="AH119" s="502"/>
      <c r="AI119" s="502"/>
      <c r="AJ119" s="502"/>
      <c r="AK119" s="502"/>
      <c r="AL119" s="502"/>
      <c r="AM119" s="502"/>
      <c r="AN119" s="502"/>
      <c r="AO119" s="502"/>
      <c r="AP119" s="502"/>
      <c r="AQ119" s="502"/>
      <c r="AR119" s="502"/>
      <c r="AS119" s="502"/>
      <c r="AT119" s="502"/>
    </row>
    <row r="120" spans="1:46" s="563" customFormat="1" ht="30">
      <c r="A120" s="429" t="s">
        <v>348</v>
      </c>
      <c r="B120" s="429" t="s">
        <v>312</v>
      </c>
      <c r="C120" s="428"/>
      <c r="D120" s="376" t="s">
        <v>338</v>
      </c>
      <c r="E120" s="502" t="s">
        <v>218</v>
      </c>
      <c r="F120" s="502" t="s">
        <v>495</v>
      </c>
      <c r="G120" s="485"/>
      <c r="H120" s="502">
        <v>87715811444</v>
      </c>
      <c r="I120" s="502"/>
      <c r="J120" s="502"/>
      <c r="K120" s="514"/>
      <c r="L120" s="514"/>
      <c r="M120" s="514"/>
      <c r="N120" s="514"/>
      <c r="O120" s="514"/>
      <c r="P120" s="514"/>
      <c r="Q120" s="514"/>
      <c r="R120" s="514"/>
      <c r="S120" s="502"/>
      <c r="T120" s="502">
        <v>51238</v>
      </c>
      <c r="U120" s="502"/>
      <c r="V120" s="502"/>
      <c r="W120" s="502">
        <v>69065</v>
      </c>
      <c r="X120" s="502"/>
      <c r="Y120" s="502"/>
      <c r="Z120" s="502"/>
      <c r="AA120" s="502"/>
      <c r="AB120" s="549"/>
      <c r="AC120" s="549"/>
      <c r="AD120" s="502"/>
      <c r="AE120" s="502"/>
      <c r="AF120" s="502"/>
      <c r="AG120" s="502"/>
      <c r="AH120" s="502"/>
      <c r="AI120" s="502"/>
      <c r="AJ120" s="502"/>
      <c r="AK120" s="502"/>
      <c r="AL120" s="502"/>
      <c r="AM120" s="502"/>
      <c r="AN120" s="502"/>
      <c r="AO120" s="502"/>
      <c r="AP120" s="502"/>
      <c r="AQ120" s="502"/>
      <c r="AR120" s="502"/>
      <c r="AS120" s="502"/>
      <c r="AT120" s="502"/>
    </row>
    <row r="121" spans="1:47" s="431" customFormat="1" ht="30">
      <c r="A121" s="454" t="s">
        <v>332</v>
      </c>
      <c r="B121" s="454" t="s">
        <v>289</v>
      </c>
      <c r="C121" s="458"/>
      <c r="D121" s="455" t="s">
        <v>337</v>
      </c>
      <c r="E121" s="431" t="s">
        <v>218</v>
      </c>
      <c r="H121" s="431" t="s">
        <v>496</v>
      </c>
      <c r="K121" s="456"/>
      <c r="L121" s="456"/>
      <c r="M121" s="456"/>
      <c r="N121" s="456"/>
      <c r="O121" s="456"/>
      <c r="P121" s="456"/>
      <c r="Q121" s="456"/>
      <c r="R121" s="456"/>
      <c r="S121" s="431">
        <v>101672</v>
      </c>
      <c r="AB121" s="546"/>
      <c r="AC121" s="546"/>
      <c r="AU121" s="545"/>
    </row>
    <row r="122" spans="1:46" s="483" customFormat="1" ht="15">
      <c r="A122" s="454" t="s">
        <v>349</v>
      </c>
      <c r="B122" s="454" t="s">
        <v>313</v>
      </c>
      <c r="C122" s="431"/>
      <c r="D122" s="455" t="s">
        <v>82</v>
      </c>
      <c r="E122" s="431"/>
      <c r="F122" s="431"/>
      <c r="G122" s="431"/>
      <c r="H122" s="431"/>
      <c r="I122" s="431"/>
      <c r="J122" s="431"/>
      <c r="K122" s="456"/>
      <c r="L122" s="456"/>
      <c r="M122" s="456"/>
      <c r="N122" s="456"/>
      <c r="O122" s="456"/>
      <c r="P122" s="456"/>
      <c r="Q122" s="456"/>
      <c r="R122" s="456"/>
      <c r="S122" s="431"/>
      <c r="T122" s="431">
        <v>132000</v>
      </c>
      <c r="U122" s="431"/>
      <c r="V122" s="431"/>
      <c r="W122" s="431"/>
      <c r="X122" s="431"/>
      <c r="Y122" s="431"/>
      <c r="Z122" s="431"/>
      <c r="AA122" s="431"/>
      <c r="AB122" s="546"/>
      <c r="AC122" s="546"/>
      <c r="AD122" s="431"/>
      <c r="AE122" s="431"/>
      <c r="AF122" s="431"/>
      <c r="AG122" s="431"/>
      <c r="AH122" s="431"/>
      <c r="AI122" s="431"/>
      <c r="AJ122" s="431"/>
      <c r="AK122" s="431"/>
      <c r="AL122" s="431"/>
      <c r="AM122" s="431"/>
      <c r="AN122" s="431"/>
      <c r="AO122" s="431"/>
      <c r="AP122" s="431"/>
      <c r="AQ122" s="431"/>
      <c r="AR122" s="431"/>
      <c r="AS122" s="431"/>
      <c r="AT122" s="431"/>
    </row>
    <row r="123" spans="1:46" s="483" customFormat="1" ht="30">
      <c r="A123" s="428" t="s">
        <v>641</v>
      </c>
      <c r="B123" s="531" t="s">
        <v>631</v>
      </c>
      <c r="C123" s="428"/>
      <c r="D123" s="502"/>
      <c r="E123" s="502" t="s">
        <v>699</v>
      </c>
      <c r="F123" s="502"/>
      <c r="G123" s="502"/>
      <c r="H123" s="502">
        <v>87017168099</v>
      </c>
      <c r="I123" s="502" t="s">
        <v>700</v>
      </c>
      <c r="J123" s="502"/>
      <c r="K123" s="514"/>
      <c r="L123" s="514"/>
      <c r="M123" s="514"/>
      <c r="N123" s="514"/>
      <c r="O123" s="514"/>
      <c r="P123" s="514"/>
      <c r="Q123" s="516"/>
      <c r="R123" s="514"/>
      <c r="S123" s="502"/>
      <c r="T123" s="502"/>
      <c r="U123" s="502"/>
      <c r="V123" s="502"/>
      <c r="W123" s="502"/>
      <c r="X123" s="502"/>
      <c r="Y123" s="502"/>
      <c r="Z123" s="502"/>
      <c r="AA123" s="502"/>
      <c r="AB123" s="549"/>
      <c r="AC123" s="549"/>
      <c r="AD123" s="502"/>
      <c r="AE123" s="502"/>
      <c r="AF123" s="502"/>
      <c r="AG123" s="502"/>
      <c r="AH123" s="502"/>
      <c r="AI123" s="502"/>
      <c r="AJ123" s="502"/>
      <c r="AK123" s="502"/>
      <c r="AL123" s="502"/>
      <c r="AM123" s="502"/>
      <c r="AN123" s="502"/>
      <c r="AO123" s="502"/>
      <c r="AP123" s="502"/>
      <c r="AQ123" s="502"/>
      <c r="AR123" s="502"/>
      <c r="AS123" s="502"/>
      <c r="AT123" s="502"/>
    </row>
    <row r="124" spans="1:46" s="483" customFormat="1" ht="15">
      <c r="A124" s="454" t="s">
        <v>713</v>
      </c>
      <c r="B124" s="458" t="s">
        <v>707</v>
      </c>
      <c r="C124" s="431"/>
      <c r="D124" s="455"/>
      <c r="E124" s="431"/>
      <c r="F124" s="431"/>
      <c r="G124" s="431"/>
      <c r="H124" s="431"/>
      <c r="I124" s="431"/>
      <c r="J124" s="431"/>
      <c r="K124" s="456"/>
      <c r="L124" s="456"/>
      <c r="M124" s="456"/>
      <c r="N124" s="456"/>
      <c r="O124" s="456"/>
      <c r="P124" s="456"/>
      <c r="Q124" s="456"/>
      <c r="R124" s="456"/>
      <c r="S124" s="431"/>
      <c r="T124" s="431"/>
      <c r="U124" s="431"/>
      <c r="V124" s="431"/>
      <c r="W124" s="431"/>
      <c r="X124" s="431"/>
      <c r="Y124" s="431"/>
      <c r="Z124" s="431"/>
      <c r="AA124" s="431"/>
      <c r="AB124" s="546"/>
      <c r="AC124" s="546"/>
      <c r="AD124" s="431"/>
      <c r="AE124" s="431"/>
      <c r="AF124" s="431"/>
      <c r="AG124" s="431"/>
      <c r="AH124" s="431"/>
      <c r="AI124" s="431"/>
      <c r="AJ124" s="431"/>
      <c r="AK124" s="431"/>
      <c r="AL124" s="431"/>
      <c r="AM124" s="431"/>
      <c r="AN124" s="431"/>
      <c r="AO124" s="431"/>
      <c r="AP124" s="431"/>
      <c r="AQ124" s="431"/>
      <c r="AR124" s="431"/>
      <c r="AS124" s="431"/>
      <c r="AT124" s="431"/>
    </row>
    <row r="125" spans="1:46" s="483" customFormat="1" ht="26.25">
      <c r="A125" s="454" t="s">
        <v>283</v>
      </c>
      <c r="B125" s="458" t="s">
        <v>262</v>
      </c>
      <c r="C125" s="431"/>
      <c r="D125" s="455" t="s">
        <v>231</v>
      </c>
      <c r="E125" s="431"/>
      <c r="F125" s="431"/>
      <c r="G125" s="431"/>
      <c r="H125" s="431"/>
      <c r="I125" s="431"/>
      <c r="J125" s="431"/>
      <c r="K125" s="456"/>
      <c r="L125" s="456"/>
      <c r="M125" s="456"/>
      <c r="N125" s="456"/>
      <c r="O125" s="456"/>
      <c r="P125" s="456"/>
      <c r="Q125" s="488"/>
      <c r="R125" s="456">
        <v>210</v>
      </c>
      <c r="S125" s="431">
        <v>565</v>
      </c>
      <c r="T125" s="431"/>
      <c r="U125" s="431">
        <v>350</v>
      </c>
      <c r="V125" s="431"/>
      <c r="W125" s="431"/>
      <c r="X125" s="431"/>
      <c r="Y125" s="431"/>
      <c r="Z125" s="431"/>
      <c r="AA125" s="431"/>
      <c r="AB125" s="546"/>
      <c r="AC125" s="546"/>
      <c r="AD125" s="431"/>
      <c r="AE125" s="431"/>
      <c r="AF125" s="431"/>
      <c r="AG125" s="431"/>
      <c r="AH125" s="431"/>
      <c r="AI125" s="431"/>
      <c r="AJ125" s="431"/>
      <c r="AK125" s="431"/>
      <c r="AL125" s="431"/>
      <c r="AM125" s="431"/>
      <c r="AN125" s="431"/>
      <c r="AO125" s="431"/>
      <c r="AP125" s="431"/>
      <c r="AQ125" s="431"/>
      <c r="AR125" s="431"/>
      <c r="AS125" s="431"/>
      <c r="AT125" s="431"/>
    </row>
    <row r="126" spans="1:46" s="483" customFormat="1" ht="15">
      <c r="A126" s="454" t="s">
        <v>284</v>
      </c>
      <c r="B126" s="455" t="s">
        <v>258</v>
      </c>
      <c r="C126" s="431"/>
      <c r="D126" s="455" t="s">
        <v>84</v>
      </c>
      <c r="E126" s="431"/>
      <c r="F126" s="431"/>
      <c r="G126" s="431"/>
      <c r="H126" s="431"/>
      <c r="I126" s="431"/>
      <c r="J126" s="431"/>
      <c r="K126" s="456"/>
      <c r="L126" s="456"/>
      <c r="M126" s="456"/>
      <c r="N126" s="456"/>
      <c r="O126" s="456"/>
      <c r="P126" s="456"/>
      <c r="Q126" s="488">
        <v>84000</v>
      </c>
      <c r="R126" s="456">
        <v>28000</v>
      </c>
      <c r="S126" s="431">
        <v>56000</v>
      </c>
      <c r="T126" s="431"/>
      <c r="U126" s="431"/>
      <c r="V126" s="431"/>
      <c r="W126" s="431">
        <v>17500</v>
      </c>
      <c r="X126" s="431"/>
      <c r="Y126" s="431"/>
      <c r="Z126" s="431"/>
      <c r="AA126" s="431"/>
      <c r="AB126" s="546"/>
      <c r="AC126" s="546"/>
      <c r="AD126" s="431"/>
      <c r="AE126" s="431"/>
      <c r="AF126" s="431"/>
      <c r="AG126" s="431"/>
      <c r="AH126" s="431"/>
      <c r="AI126" s="431"/>
      <c r="AJ126" s="431"/>
      <c r="AK126" s="431"/>
      <c r="AL126" s="431"/>
      <c r="AM126" s="431"/>
      <c r="AN126" s="431"/>
      <c r="AO126" s="431"/>
      <c r="AP126" s="431"/>
      <c r="AQ126" s="431"/>
      <c r="AR126" s="431"/>
      <c r="AS126" s="431"/>
      <c r="AT126" s="431"/>
    </row>
    <row r="127" spans="1:46" s="483" customFormat="1" ht="15">
      <c r="A127" s="482" t="s">
        <v>661</v>
      </c>
      <c r="B127" s="493" t="s">
        <v>223</v>
      </c>
      <c r="C127" s="492"/>
      <c r="D127" s="493"/>
      <c r="E127" s="492"/>
      <c r="F127" s="492"/>
      <c r="G127" s="492"/>
      <c r="H127" s="492"/>
      <c r="I127" s="492"/>
      <c r="J127" s="492"/>
      <c r="K127" s="494"/>
      <c r="L127" s="494"/>
      <c r="M127" s="494"/>
      <c r="N127" s="494"/>
      <c r="O127" s="494"/>
      <c r="P127" s="494"/>
      <c r="Q127" s="496">
        <v>300</v>
      </c>
      <c r="R127" s="494">
        <v>231</v>
      </c>
      <c r="S127" s="492"/>
      <c r="T127" s="492"/>
      <c r="U127" s="492"/>
      <c r="V127" s="492"/>
      <c r="W127" s="492"/>
      <c r="X127" s="492"/>
      <c r="Y127" s="492"/>
      <c r="Z127" s="492"/>
      <c r="AA127" s="431"/>
      <c r="AB127" s="548"/>
      <c r="AC127" s="548"/>
      <c r="AD127" s="492"/>
      <c r="AE127" s="492"/>
      <c r="AF127" s="492"/>
      <c r="AG127" s="492"/>
      <c r="AH127" s="492"/>
      <c r="AI127" s="492"/>
      <c r="AJ127" s="492"/>
      <c r="AK127" s="492"/>
      <c r="AL127" s="492"/>
      <c r="AM127" s="492"/>
      <c r="AN127" s="492"/>
      <c r="AO127" s="492"/>
      <c r="AP127" s="492"/>
      <c r="AQ127" s="492"/>
      <c r="AR127" s="492"/>
      <c r="AS127" s="492"/>
      <c r="AT127" s="492"/>
    </row>
    <row r="128" spans="1:46" s="483" customFormat="1" ht="15">
      <c r="A128" s="454" t="s">
        <v>333</v>
      </c>
      <c r="B128" s="454" t="s">
        <v>259</v>
      </c>
      <c r="C128" s="431"/>
      <c r="D128" s="455"/>
      <c r="E128" s="431"/>
      <c r="F128" s="431"/>
      <c r="G128" s="431"/>
      <c r="H128" s="431"/>
      <c r="I128" s="431"/>
      <c r="J128" s="431"/>
      <c r="K128" s="456"/>
      <c r="L128" s="456"/>
      <c r="M128" s="456"/>
      <c r="N128" s="456"/>
      <c r="O128" s="456"/>
      <c r="P128" s="456"/>
      <c r="Q128" s="456">
        <v>19380</v>
      </c>
      <c r="R128" s="456"/>
      <c r="S128" s="431">
        <v>16000</v>
      </c>
      <c r="T128" s="431">
        <v>34000</v>
      </c>
      <c r="U128" s="431"/>
      <c r="V128" s="431"/>
      <c r="W128" s="431"/>
      <c r="X128" s="431"/>
      <c r="Y128" s="431"/>
      <c r="Z128" s="431"/>
      <c r="AA128" s="431"/>
      <c r="AB128" s="546"/>
      <c r="AC128" s="546"/>
      <c r="AD128" s="431"/>
      <c r="AE128" s="431"/>
      <c r="AF128" s="431"/>
      <c r="AG128" s="431"/>
      <c r="AH128" s="431"/>
      <c r="AI128" s="431"/>
      <c r="AJ128" s="431"/>
      <c r="AK128" s="431"/>
      <c r="AL128" s="431"/>
      <c r="AM128" s="431"/>
      <c r="AN128" s="431"/>
      <c r="AO128" s="431"/>
      <c r="AP128" s="431"/>
      <c r="AQ128" s="431"/>
      <c r="AR128" s="431"/>
      <c r="AS128" s="431"/>
      <c r="AT128" s="431"/>
    </row>
    <row r="129" spans="1:46" s="483" customFormat="1" ht="15">
      <c r="A129" s="429" t="s">
        <v>285</v>
      </c>
      <c r="B129" s="388" t="s">
        <v>156</v>
      </c>
      <c r="C129" s="502"/>
      <c r="D129" s="376"/>
      <c r="E129" s="502"/>
      <c r="F129" s="502"/>
      <c r="G129" s="502"/>
      <c r="H129" s="502"/>
      <c r="I129" s="502"/>
      <c r="J129" s="502"/>
      <c r="K129" s="514"/>
      <c r="L129" s="514"/>
      <c r="M129" s="514"/>
      <c r="N129" s="514"/>
      <c r="O129" s="514">
        <v>400</v>
      </c>
      <c r="P129" s="514"/>
      <c r="Q129" s="516"/>
      <c r="R129" s="514">
        <v>2600</v>
      </c>
      <c r="S129" s="502"/>
      <c r="T129" s="502"/>
      <c r="U129" s="502"/>
      <c r="V129" s="502"/>
      <c r="W129" s="502"/>
      <c r="X129" s="502"/>
      <c r="Y129" s="502"/>
      <c r="Z129" s="502"/>
      <c r="AA129" s="502"/>
      <c r="AB129" s="549"/>
      <c r="AC129" s="549"/>
      <c r="AD129" s="502"/>
      <c r="AE129" s="502"/>
      <c r="AF129" s="502"/>
      <c r="AG129" s="502"/>
      <c r="AH129" s="502"/>
      <c r="AI129" s="502"/>
      <c r="AJ129" s="502"/>
      <c r="AK129" s="502"/>
      <c r="AL129" s="502"/>
      <c r="AM129" s="502"/>
      <c r="AN129" s="502"/>
      <c r="AO129" s="502"/>
      <c r="AP129" s="502"/>
      <c r="AQ129" s="502"/>
      <c r="AR129" s="502"/>
      <c r="AS129" s="502"/>
      <c r="AT129" s="502"/>
    </row>
    <row r="130" spans="1:46" s="483" customFormat="1" ht="15">
      <c r="A130" s="429" t="s">
        <v>350</v>
      </c>
      <c r="B130" s="429" t="s">
        <v>272</v>
      </c>
      <c r="C130" s="502"/>
      <c r="D130" s="376"/>
      <c r="E130" s="502"/>
      <c r="F130" s="502"/>
      <c r="G130" s="502"/>
      <c r="H130" s="502"/>
      <c r="I130" s="502"/>
      <c r="J130" s="502"/>
      <c r="K130" s="514"/>
      <c r="L130" s="514"/>
      <c r="M130" s="514"/>
      <c r="N130" s="514"/>
      <c r="O130" s="514"/>
      <c r="P130" s="514"/>
      <c r="Q130" s="514"/>
      <c r="R130" s="514"/>
      <c r="S130" s="502"/>
      <c r="T130" s="502">
        <v>0</v>
      </c>
      <c r="U130" s="502"/>
      <c r="V130" s="502"/>
      <c r="W130" s="502">
        <v>1000</v>
      </c>
      <c r="X130" s="502"/>
      <c r="Y130" s="502"/>
      <c r="Z130" s="502"/>
      <c r="AA130" s="502"/>
      <c r="AB130" s="549"/>
      <c r="AC130" s="549"/>
      <c r="AD130" s="502"/>
      <c r="AE130" s="502"/>
      <c r="AF130" s="502"/>
      <c r="AG130" s="502"/>
      <c r="AH130" s="502"/>
      <c r="AI130" s="502"/>
      <c r="AJ130" s="502"/>
      <c r="AK130" s="502"/>
      <c r="AL130" s="502"/>
      <c r="AM130" s="502"/>
      <c r="AN130" s="502"/>
      <c r="AO130" s="502"/>
      <c r="AP130" s="502"/>
      <c r="AQ130" s="502"/>
      <c r="AR130" s="502"/>
      <c r="AS130" s="502"/>
      <c r="AT130" s="502"/>
    </row>
    <row r="131" spans="1:46" s="431" customFormat="1" ht="45">
      <c r="A131" s="482" t="s">
        <v>660</v>
      </c>
      <c r="B131" s="555" t="s">
        <v>645</v>
      </c>
      <c r="C131" s="482" t="s">
        <v>685</v>
      </c>
      <c r="D131" s="483"/>
      <c r="E131" s="483" t="s">
        <v>518</v>
      </c>
      <c r="F131" s="483" t="s">
        <v>684</v>
      </c>
      <c r="G131" s="483"/>
      <c r="H131" s="483">
        <v>87771711650</v>
      </c>
      <c r="I131" s="483" t="s">
        <v>497</v>
      </c>
      <c r="J131" s="483"/>
      <c r="K131" s="484"/>
      <c r="L131" s="484"/>
      <c r="M131" s="484"/>
      <c r="N131" s="484"/>
      <c r="O131" s="484"/>
      <c r="P131" s="484"/>
      <c r="Q131" s="489"/>
      <c r="R131" s="484"/>
      <c r="S131" s="483"/>
      <c r="T131" s="483"/>
      <c r="U131" s="483"/>
      <c r="V131" s="483"/>
      <c r="W131" s="483"/>
      <c r="X131" s="483"/>
      <c r="Y131" s="483"/>
      <c r="Z131" s="483"/>
      <c r="AA131" s="483"/>
      <c r="AB131" s="556"/>
      <c r="AC131" s="546"/>
      <c r="AD131" s="483"/>
      <c r="AE131" s="483"/>
      <c r="AF131" s="483"/>
      <c r="AG131" s="483"/>
      <c r="AH131" s="483"/>
      <c r="AI131" s="483"/>
      <c r="AJ131" s="483"/>
      <c r="AK131" s="483"/>
      <c r="AL131" s="483"/>
      <c r="AM131" s="483"/>
      <c r="AN131" s="483"/>
      <c r="AO131" s="483"/>
      <c r="AP131" s="483"/>
      <c r="AQ131" s="483"/>
      <c r="AR131" s="483"/>
      <c r="AS131" s="483"/>
      <c r="AT131" s="483"/>
    </row>
    <row r="132" spans="1:46" s="431" customFormat="1" ht="15">
      <c r="A132" s="429" t="s">
        <v>286</v>
      </c>
      <c r="B132" s="388" t="s">
        <v>263</v>
      </c>
      <c r="C132" s="502"/>
      <c r="D132" s="376" t="s">
        <v>83</v>
      </c>
      <c r="E132" s="502"/>
      <c r="F132" s="502"/>
      <c r="G132" s="502"/>
      <c r="H132" s="502"/>
      <c r="I132" s="502"/>
      <c r="J132" s="502"/>
      <c r="K132" s="514"/>
      <c r="L132" s="514"/>
      <c r="M132" s="514"/>
      <c r="N132" s="514"/>
      <c r="O132" s="514"/>
      <c r="P132" s="514"/>
      <c r="Q132" s="516"/>
      <c r="R132" s="514">
        <v>0</v>
      </c>
      <c r="S132" s="502"/>
      <c r="T132" s="502"/>
      <c r="U132" s="502"/>
      <c r="V132" s="502"/>
      <c r="W132" s="502"/>
      <c r="X132" s="502"/>
      <c r="Y132" s="502"/>
      <c r="Z132" s="502"/>
      <c r="AA132" s="502"/>
      <c r="AB132" s="549"/>
      <c r="AC132" s="549"/>
      <c r="AD132" s="502"/>
      <c r="AE132" s="502"/>
      <c r="AF132" s="502"/>
      <c r="AG132" s="502"/>
      <c r="AH132" s="502"/>
      <c r="AI132" s="502"/>
      <c r="AJ132" s="502"/>
      <c r="AK132" s="502"/>
      <c r="AL132" s="502"/>
      <c r="AM132" s="502"/>
      <c r="AN132" s="502"/>
      <c r="AO132" s="502"/>
      <c r="AP132" s="502"/>
      <c r="AQ132" s="502"/>
      <c r="AR132" s="502"/>
      <c r="AS132" s="502"/>
      <c r="AT132" s="502"/>
    </row>
    <row r="133" spans="1:46" s="431" customFormat="1" ht="15">
      <c r="A133" s="428" t="s">
        <v>614</v>
      </c>
      <c r="B133" s="529" t="s">
        <v>623</v>
      </c>
      <c r="C133" s="428"/>
      <c r="D133" s="502"/>
      <c r="E133" s="502"/>
      <c r="F133" s="502"/>
      <c r="G133" s="502"/>
      <c r="H133" s="502"/>
      <c r="I133" s="502"/>
      <c r="J133" s="502"/>
      <c r="K133" s="514"/>
      <c r="L133" s="514"/>
      <c r="M133" s="514"/>
      <c r="N133" s="514"/>
      <c r="O133" s="514"/>
      <c r="P133" s="514"/>
      <c r="Q133" s="516"/>
      <c r="R133" s="514"/>
      <c r="S133" s="502"/>
      <c r="T133" s="502"/>
      <c r="U133" s="502"/>
      <c r="V133" s="502"/>
      <c r="W133" s="502"/>
      <c r="X133" s="502"/>
      <c r="Y133" s="502"/>
      <c r="Z133" s="502"/>
      <c r="AA133" s="502"/>
      <c r="AB133" s="549"/>
      <c r="AC133" s="549"/>
      <c r="AD133" s="502"/>
      <c r="AE133" s="502"/>
      <c r="AF133" s="502"/>
      <c r="AG133" s="502"/>
      <c r="AH133" s="502"/>
      <c r="AI133" s="502"/>
      <c r="AJ133" s="502"/>
      <c r="AK133" s="502"/>
      <c r="AL133" s="502"/>
      <c r="AM133" s="502"/>
      <c r="AN133" s="502"/>
      <c r="AO133" s="502"/>
      <c r="AP133" s="502"/>
      <c r="AQ133" s="502"/>
      <c r="AR133" s="502"/>
      <c r="AS133" s="502"/>
      <c r="AT133" s="502"/>
    </row>
    <row r="134" spans="1:29" s="431" customFormat="1" ht="15">
      <c r="A134" s="428" t="s">
        <v>571</v>
      </c>
      <c r="B134" s="458" t="s">
        <v>395</v>
      </c>
      <c r="C134" s="458" t="s">
        <v>96</v>
      </c>
      <c r="D134" s="455" t="s">
        <v>96</v>
      </c>
      <c r="K134" s="456"/>
      <c r="L134" s="456"/>
      <c r="M134" s="456"/>
      <c r="N134" s="456"/>
      <c r="O134" s="456"/>
      <c r="P134" s="456"/>
      <c r="Q134" s="456">
        <v>1200</v>
      </c>
      <c r="R134" s="456"/>
      <c r="AB134" s="546"/>
      <c r="AC134" s="546"/>
    </row>
    <row r="135" spans="1:29" s="431" customFormat="1" ht="15">
      <c r="A135" s="454" t="s">
        <v>334</v>
      </c>
      <c r="B135" s="454" t="s">
        <v>142</v>
      </c>
      <c r="D135" s="455" t="s">
        <v>338</v>
      </c>
      <c r="K135" s="456"/>
      <c r="L135" s="456"/>
      <c r="M135" s="456"/>
      <c r="N135" s="456"/>
      <c r="O135" s="456">
        <f>2626+200</f>
        <v>2826</v>
      </c>
      <c r="P135" s="456">
        <v>173</v>
      </c>
      <c r="Q135" s="456">
        <v>301</v>
      </c>
      <c r="R135" s="456"/>
      <c r="S135" s="431">
        <v>980</v>
      </c>
      <c r="AB135" s="546"/>
      <c r="AC135" s="546"/>
    </row>
    <row r="136" spans="1:46" s="431" customFormat="1" ht="45">
      <c r="A136" s="558" t="s">
        <v>335</v>
      </c>
      <c r="B136" s="558" t="s">
        <v>270</v>
      </c>
      <c r="C136" s="560"/>
      <c r="D136" s="559" t="s">
        <v>231</v>
      </c>
      <c r="E136" s="560" t="s">
        <v>220</v>
      </c>
      <c r="F136" s="560" t="s">
        <v>500</v>
      </c>
      <c r="G136" s="560">
        <v>3201024</v>
      </c>
      <c r="H136" s="560"/>
      <c r="I136" s="560" t="s">
        <v>630</v>
      </c>
      <c r="J136" s="560"/>
      <c r="K136" s="561"/>
      <c r="L136" s="561"/>
      <c r="M136" s="561"/>
      <c r="N136" s="561"/>
      <c r="O136" s="561"/>
      <c r="P136" s="561"/>
      <c r="Q136" s="561"/>
      <c r="R136" s="561"/>
      <c r="S136" s="560">
        <v>9000</v>
      </c>
      <c r="T136" s="560">
        <v>9000</v>
      </c>
      <c r="U136" s="560"/>
      <c r="V136" s="560"/>
      <c r="W136" s="560"/>
      <c r="X136" s="560"/>
      <c r="Y136" s="560"/>
      <c r="Z136" s="560"/>
      <c r="AA136" s="560"/>
      <c r="AB136" s="562"/>
      <c r="AC136" s="562"/>
      <c r="AD136" s="560"/>
      <c r="AE136" s="560"/>
      <c r="AF136" s="560"/>
      <c r="AG136" s="560"/>
      <c r="AH136" s="560"/>
      <c r="AI136" s="560"/>
      <c r="AJ136" s="560"/>
      <c r="AK136" s="560"/>
      <c r="AL136" s="560"/>
      <c r="AM136" s="560"/>
      <c r="AN136" s="560"/>
      <c r="AO136" s="560"/>
      <c r="AP136" s="560"/>
      <c r="AQ136" s="560"/>
      <c r="AR136" s="560"/>
      <c r="AS136" s="560"/>
      <c r="AT136" s="560"/>
    </row>
    <row r="137" spans="1:29" s="431" customFormat="1" ht="15">
      <c r="A137" s="454" t="s">
        <v>351</v>
      </c>
      <c r="B137" s="458" t="s">
        <v>314</v>
      </c>
      <c r="D137" s="455"/>
      <c r="K137" s="456"/>
      <c r="L137" s="456"/>
      <c r="M137" s="456"/>
      <c r="N137" s="456"/>
      <c r="O137" s="456"/>
      <c r="P137" s="456"/>
      <c r="Q137" s="456"/>
      <c r="R137" s="456"/>
      <c r="T137" s="431">
        <v>0</v>
      </c>
      <c r="AB137" s="546"/>
      <c r="AC137" s="546"/>
    </row>
    <row r="138" spans="1:47" s="431" customFormat="1" ht="60">
      <c r="A138" s="454" t="s">
        <v>287</v>
      </c>
      <c r="B138" s="455" t="s">
        <v>120</v>
      </c>
      <c r="C138" s="455" t="s">
        <v>340</v>
      </c>
      <c r="D138" s="455" t="s">
        <v>338</v>
      </c>
      <c r="E138" s="431" t="s">
        <v>216</v>
      </c>
      <c r="G138" s="431">
        <v>2723669</v>
      </c>
      <c r="I138" s="502" t="s">
        <v>562</v>
      </c>
      <c r="K138" s="456"/>
      <c r="L138" s="456"/>
      <c r="M138" s="456"/>
      <c r="N138" s="456"/>
      <c r="O138" s="456">
        <v>9380</v>
      </c>
      <c r="P138" s="456">
        <v>5625</v>
      </c>
      <c r="Q138" s="456"/>
      <c r="R138" s="456">
        <v>7512</v>
      </c>
      <c r="S138" s="431">
        <v>30625</v>
      </c>
      <c r="T138" s="431">
        <v>37095</v>
      </c>
      <c r="U138" s="431">
        <v>13500</v>
      </c>
      <c r="V138" s="431">
        <v>6500</v>
      </c>
      <c r="X138" s="431">
        <v>27000</v>
      </c>
      <c r="AB138" s="546"/>
      <c r="AC138" s="546"/>
      <c r="AU138" s="545"/>
    </row>
    <row r="139" spans="1:47" s="431" customFormat="1" ht="15">
      <c r="A139" s="457"/>
      <c r="B139" s="530" t="s">
        <v>558</v>
      </c>
      <c r="C139" s="504" t="s">
        <v>557</v>
      </c>
      <c r="D139" s="504"/>
      <c r="E139" s="504" t="s">
        <v>556</v>
      </c>
      <c r="F139" s="504"/>
      <c r="G139" s="504" t="s">
        <v>555</v>
      </c>
      <c r="H139" s="504" t="s">
        <v>554</v>
      </c>
      <c r="K139" s="456"/>
      <c r="L139" s="456"/>
      <c r="M139" s="456"/>
      <c r="N139" s="456"/>
      <c r="O139" s="456"/>
      <c r="P139" s="456"/>
      <c r="Q139" s="488"/>
      <c r="R139" s="456"/>
      <c r="AB139" s="546"/>
      <c r="AC139" s="546"/>
      <c r="AU139" s="545"/>
    </row>
    <row r="140" spans="1:31" s="522" customFormat="1" ht="15">
      <c r="A140" s="521"/>
      <c r="B140" s="533"/>
      <c r="C140" s="522" t="s">
        <v>116</v>
      </c>
      <c r="D140" s="460"/>
      <c r="K140" s="523"/>
      <c r="L140" s="523"/>
      <c r="M140" s="523"/>
      <c r="N140" s="523"/>
      <c r="O140" s="523">
        <f>SUM(O47:O139)-297</f>
        <v>523019</v>
      </c>
      <c r="P140" s="523">
        <f>SUM(P47:P139)-200</f>
        <v>887158</v>
      </c>
      <c r="Q140" s="523">
        <f>SUM(Q47:Q139)-200</f>
        <v>1591766</v>
      </c>
      <c r="R140" s="523">
        <f>SUM(R47:R139)-200</f>
        <v>350642</v>
      </c>
      <c r="S140" s="522">
        <f>SUM(S47:S139)</f>
        <v>462843</v>
      </c>
      <c r="T140" s="522">
        <f>SUM(T47:T139)</f>
        <v>935531</v>
      </c>
      <c r="U140" s="522">
        <f>SUM(U47:U139)</f>
        <v>401137</v>
      </c>
      <c r="V140" s="522">
        <f>SUM(V10:V139)</f>
        <v>17850063</v>
      </c>
      <c r="W140" s="522">
        <f>SUM(W10:W139)</f>
        <v>619873</v>
      </c>
      <c r="X140" s="522">
        <f>SUM(X2:X139)</f>
        <v>145804</v>
      </c>
      <c r="AB140" s="552"/>
      <c r="AC140" s="552"/>
      <c r="AD140" s="552"/>
      <c r="AE140" s="552"/>
    </row>
    <row r="141" spans="1:46" ht="15">
      <c r="A141" s="503"/>
      <c r="B141" s="505"/>
      <c r="C141" s="506"/>
      <c r="D141" s="507"/>
      <c r="E141" s="506"/>
      <c r="F141" s="506"/>
      <c r="G141" s="506"/>
      <c r="H141" s="506"/>
      <c r="I141" s="506"/>
      <c r="J141" s="508"/>
      <c r="K141" s="508"/>
      <c r="L141" s="508"/>
      <c r="M141" s="508"/>
      <c r="N141" s="510"/>
      <c r="O141" s="508"/>
      <c r="P141" s="506"/>
      <c r="Q141" s="506"/>
      <c r="R141" s="506"/>
      <c r="S141" s="506"/>
      <c r="T141" s="506"/>
      <c r="U141" s="506"/>
      <c r="V141" s="506" t="e">
        <f>#REF!</f>
        <v>#REF!</v>
      </c>
      <c r="W141" s="506">
        <f>'01'!J134</f>
        <v>1494075</v>
      </c>
      <c r="X141" s="506" t="e">
        <f>#REF!</f>
        <v>#REF!</v>
      </c>
      <c r="Y141" s="506" t="e">
        <f>#REF!</f>
        <v>#REF!</v>
      </c>
      <c r="Z141" s="506" t="e">
        <f>#REF!</f>
        <v>#REF!</v>
      </c>
      <c r="AA141" s="506" t="e">
        <f>#REF!</f>
        <v>#REF!</v>
      </c>
      <c r="AB141" s="553" t="e">
        <f>#REF!</f>
        <v>#REF!</v>
      </c>
      <c r="AC141" s="553" t="e">
        <f>#REF!</f>
        <v>#REF!</v>
      </c>
      <c r="AD141" s="553" t="e">
        <f>#REF!</f>
        <v>#REF!</v>
      </c>
      <c r="AE141" s="553" t="e">
        <f>#REF!</f>
        <v>#REF!</v>
      </c>
      <c r="AF141" s="506"/>
      <c r="AG141" s="506"/>
      <c r="AH141" s="506"/>
      <c r="AI141" s="506"/>
      <c r="AJ141" s="506"/>
      <c r="AK141" s="506"/>
      <c r="AL141" s="506"/>
      <c r="AM141" s="506"/>
      <c r="AN141" s="506"/>
      <c r="AO141" s="506"/>
      <c r="AP141" s="506"/>
      <c r="AQ141" s="506"/>
      <c r="AR141" s="506"/>
      <c r="AS141" s="506"/>
      <c r="AT141" s="506"/>
    </row>
    <row r="142" spans="3:31" s="481" customFormat="1" ht="15">
      <c r="C142" s="565"/>
      <c r="K142" s="566"/>
      <c r="L142" s="566"/>
      <c r="M142" s="566"/>
      <c r="N142" s="566"/>
      <c r="O142" s="566"/>
      <c r="P142" s="566"/>
      <c r="Q142" s="567"/>
      <c r="R142" s="566"/>
      <c r="V142" s="481" t="e">
        <f>V140-V141</f>
        <v>#REF!</v>
      </c>
      <c r="W142" s="481">
        <f>W140-W141</f>
        <v>-874202</v>
      </c>
      <c r="X142" s="481" t="e">
        <f>X140-X141</f>
        <v>#REF!</v>
      </c>
      <c r="AA142" s="481" t="e">
        <f>AA140-AA141</f>
        <v>#REF!</v>
      </c>
      <c r="AB142" s="568" t="e">
        <f>AB140-AB141</f>
        <v>#REF!</v>
      </c>
      <c r="AC142" s="568" t="e">
        <f>AC140-AC141</f>
        <v>#REF!</v>
      </c>
      <c r="AD142" s="568" t="e">
        <f>AD140-AD141</f>
        <v>#REF!</v>
      </c>
      <c r="AE142" s="568" t="e">
        <f>AE140-AE141</f>
        <v>#REF!</v>
      </c>
    </row>
  </sheetData>
  <sheetProtection/>
  <autoFilter ref="A1:AT142">
    <sortState ref="A2:AT142">
      <sortCondition sortBy="value" ref="A2:A142"/>
    </sortState>
  </autoFilter>
  <hyperlinks>
    <hyperlink ref="J25" r:id="rId1" display="info@oe.kz"/>
    <hyperlink ref="J13" r:id="rId2" display="dussmann_kz99@hotmail.com"/>
    <hyperlink ref="J80" r:id="rId3" display="zakaz@kliaksa.kz"/>
    <hyperlink ref="J72" r:id="rId4" display="zi-zi.atakent@mail.ru"/>
    <hyperlink ref="J27" r:id="rId5" display="anita_fauol@mail.ru"/>
    <hyperlink ref="J10" r:id="rId6" display="ladyjan@mail.ru"/>
    <hyperlink ref="J83" r:id="rId7" display="m-kometa@mail.ru"/>
    <hyperlink ref="J91" r:id="rId8" display="zhanar790@mail.ru"/>
    <hyperlink ref="J110" r:id="rId9" display="VVSmirnov@almsklad.stopharm.kz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30.140625" style="534" customWidth="1"/>
    <col min="2" max="2" width="10.421875" style="462" bestFit="1" customWidth="1"/>
    <col min="3" max="4" width="10.421875" style="462" customWidth="1"/>
    <col min="5" max="5" width="10.7109375" style="462" bestFit="1" customWidth="1"/>
    <col min="6" max="7" width="10.7109375" style="462" customWidth="1"/>
    <col min="8" max="8" width="10.140625" style="462" bestFit="1" customWidth="1"/>
    <col min="9" max="10" width="10.140625" style="462" customWidth="1"/>
    <col min="11" max="11" width="11.28125" style="462" customWidth="1"/>
    <col min="14" max="14" width="9.140625" style="674" customWidth="1"/>
  </cols>
  <sheetData>
    <row r="1" spans="1:14" ht="15">
      <c r="A1" s="593"/>
      <c r="B1" s="685">
        <v>40909</v>
      </c>
      <c r="C1" s="686"/>
      <c r="D1" s="687"/>
      <c r="E1" s="685">
        <v>40940</v>
      </c>
      <c r="F1" s="686"/>
      <c r="G1" s="686"/>
      <c r="H1" s="685">
        <v>40969</v>
      </c>
      <c r="I1" s="686"/>
      <c r="J1" s="686"/>
      <c r="K1" s="688">
        <v>41000</v>
      </c>
      <c r="L1" s="689"/>
      <c r="M1" s="690"/>
      <c r="N1" s="683" t="s">
        <v>722</v>
      </c>
    </row>
    <row r="2" spans="1:14" ht="22.5">
      <c r="A2" s="593" t="s">
        <v>720</v>
      </c>
      <c r="B2" s="632" t="s">
        <v>717</v>
      </c>
      <c r="C2" s="511" t="s">
        <v>718</v>
      </c>
      <c r="D2" s="633" t="s">
        <v>719</v>
      </c>
      <c r="E2" s="592" t="s">
        <v>717</v>
      </c>
      <c r="F2" s="511" t="s">
        <v>718</v>
      </c>
      <c r="G2" s="591" t="s">
        <v>719</v>
      </c>
      <c r="H2" s="632" t="s">
        <v>717</v>
      </c>
      <c r="I2" s="511" t="s">
        <v>718</v>
      </c>
      <c r="J2" s="591" t="s">
        <v>719</v>
      </c>
      <c r="K2" s="632" t="s">
        <v>717</v>
      </c>
      <c r="L2" s="511" t="s">
        <v>718</v>
      </c>
      <c r="M2" s="591" t="s">
        <v>719</v>
      </c>
      <c r="N2" s="684"/>
    </row>
    <row r="3" spans="1:14" ht="15">
      <c r="A3" s="594"/>
      <c r="B3" s="634"/>
      <c r="C3" s="456"/>
      <c r="D3" s="635"/>
      <c r="E3" s="622"/>
      <c r="F3" s="456"/>
      <c r="G3" s="653"/>
      <c r="H3" s="634"/>
      <c r="I3" s="456"/>
      <c r="J3" s="653"/>
      <c r="K3" s="634"/>
      <c r="L3" s="504"/>
      <c r="M3" s="670"/>
      <c r="N3" s="672"/>
    </row>
    <row r="4" spans="1:14" ht="15">
      <c r="A4" s="595"/>
      <c r="B4" s="634"/>
      <c r="C4" s="456"/>
      <c r="D4" s="635"/>
      <c r="E4" s="622"/>
      <c r="F4" s="456"/>
      <c r="G4" s="653"/>
      <c r="H4" s="634"/>
      <c r="I4" s="456"/>
      <c r="J4" s="653"/>
      <c r="K4" s="634"/>
      <c r="L4" s="504"/>
      <c r="M4" s="670"/>
      <c r="N4" s="672"/>
    </row>
    <row r="5" spans="1:14" ht="15">
      <c r="A5" s="596"/>
      <c r="B5" s="634"/>
      <c r="C5" s="456"/>
      <c r="D5" s="635"/>
      <c r="E5" s="622"/>
      <c r="F5" s="456"/>
      <c r="G5" s="653"/>
      <c r="H5" s="634"/>
      <c r="I5" s="456"/>
      <c r="J5" s="653"/>
      <c r="K5" s="634"/>
      <c r="L5" s="504"/>
      <c r="M5" s="670"/>
      <c r="N5" s="672"/>
    </row>
    <row r="6" spans="1:14" ht="15">
      <c r="A6" s="597"/>
      <c r="B6" s="634"/>
      <c r="C6" s="456"/>
      <c r="D6" s="635"/>
      <c r="E6" s="622"/>
      <c r="F6" s="456"/>
      <c r="G6" s="653"/>
      <c r="H6" s="634"/>
      <c r="I6" s="456"/>
      <c r="J6" s="653"/>
      <c r="K6" s="634"/>
      <c r="L6" s="504"/>
      <c r="M6" s="670"/>
      <c r="N6" s="672"/>
    </row>
    <row r="7" spans="1:14" ht="15">
      <c r="A7" s="598"/>
      <c r="B7" s="636"/>
      <c r="C7" s="512"/>
      <c r="D7" s="637"/>
      <c r="E7" s="623"/>
      <c r="F7" s="512"/>
      <c r="G7" s="654"/>
      <c r="H7" s="636"/>
      <c r="I7" s="512"/>
      <c r="J7" s="654"/>
      <c r="K7" s="636"/>
      <c r="L7" s="504"/>
      <c r="M7" s="670"/>
      <c r="N7" s="672"/>
    </row>
    <row r="8" spans="1:14" ht="15">
      <c r="A8" s="596"/>
      <c r="B8" s="634"/>
      <c r="C8" s="456"/>
      <c r="D8" s="635"/>
      <c r="E8" s="622"/>
      <c r="F8" s="456"/>
      <c r="G8" s="653"/>
      <c r="H8" s="634"/>
      <c r="I8" s="456"/>
      <c r="J8" s="653"/>
      <c r="K8" s="634"/>
      <c r="L8" s="504"/>
      <c r="M8" s="670"/>
      <c r="N8" s="672"/>
    </row>
    <row r="9" spans="1:14" ht="15">
      <c r="A9" s="597"/>
      <c r="B9" s="634"/>
      <c r="C9" s="456"/>
      <c r="D9" s="635"/>
      <c r="E9" s="622"/>
      <c r="F9" s="456"/>
      <c r="G9" s="653"/>
      <c r="H9" s="634"/>
      <c r="I9" s="456"/>
      <c r="J9" s="653"/>
      <c r="K9" s="634"/>
      <c r="L9" s="504"/>
      <c r="M9" s="670"/>
      <c r="N9" s="672"/>
    </row>
    <row r="10" spans="1:14" ht="15">
      <c r="A10" s="594"/>
      <c r="B10" s="634"/>
      <c r="C10" s="456"/>
      <c r="D10" s="635"/>
      <c r="E10" s="622"/>
      <c r="F10" s="456"/>
      <c r="G10" s="653"/>
      <c r="H10" s="634"/>
      <c r="I10" s="456"/>
      <c r="J10" s="653"/>
      <c r="K10" s="634"/>
      <c r="L10" s="504"/>
      <c r="M10" s="670"/>
      <c r="N10" s="672"/>
    </row>
    <row r="11" spans="1:14" ht="15">
      <c r="A11" s="594"/>
      <c r="B11" s="634"/>
      <c r="C11" s="456"/>
      <c r="D11" s="635"/>
      <c r="E11" s="622"/>
      <c r="F11" s="456"/>
      <c r="G11" s="653"/>
      <c r="H11" s="634"/>
      <c r="I11" s="456"/>
      <c r="J11" s="653"/>
      <c r="K11" s="634"/>
      <c r="L11" s="504"/>
      <c r="M11" s="670"/>
      <c r="N11" s="672"/>
    </row>
    <row r="12" spans="1:14" ht="15">
      <c r="A12" s="597"/>
      <c r="B12" s="634"/>
      <c r="C12" s="456"/>
      <c r="D12" s="635"/>
      <c r="E12" s="622"/>
      <c r="F12" s="456"/>
      <c r="G12" s="653"/>
      <c r="H12" s="634"/>
      <c r="I12" s="456"/>
      <c r="J12" s="653"/>
      <c r="K12" s="634"/>
      <c r="L12" s="504"/>
      <c r="M12" s="670"/>
      <c r="N12" s="672"/>
    </row>
    <row r="13" spans="1:14" ht="15">
      <c r="A13" s="597"/>
      <c r="B13" s="634"/>
      <c r="C13" s="456"/>
      <c r="D13" s="635"/>
      <c r="E13" s="622"/>
      <c r="F13" s="456"/>
      <c r="G13" s="653"/>
      <c r="H13" s="634"/>
      <c r="I13" s="456"/>
      <c r="J13" s="653"/>
      <c r="K13" s="634"/>
      <c r="L13" s="504"/>
      <c r="M13" s="670"/>
      <c r="N13" s="672"/>
    </row>
    <row r="14" spans="1:14" ht="15">
      <c r="A14" s="599"/>
      <c r="B14" s="638"/>
      <c r="C14" s="514"/>
      <c r="D14" s="639"/>
      <c r="E14" s="624"/>
      <c r="F14" s="514"/>
      <c r="G14" s="655"/>
      <c r="H14" s="638"/>
      <c r="I14" s="514"/>
      <c r="J14" s="655"/>
      <c r="K14" s="666"/>
      <c r="L14" s="504"/>
      <c r="M14" s="670"/>
      <c r="N14" s="672"/>
    </row>
    <row r="15" spans="1:14" ht="15">
      <c r="A15" s="669" t="s">
        <v>721</v>
      </c>
      <c r="B15" s="634"/>
      <c r="C15" s="456"/>
      <c r="D15" s="635"/>
      <c r="E15" s="622">
        <v>25629</v>
      </c>
      <c r="F15" s="456">
        <v>800000</v>
      </c>
      <c r="G15" s="653">
        <v>150000</v>
      </c>
      <c r="H15" s="634">
        <v>10200</v>
      </c>
      <c r="I15" s="456">
        <v>903500</v>
      </c>
      <c r="J15" s="653">
        <v>285000</v>
      </c>
      <c r="K15" s="634"/>
      <c r="L15" s="504"/>
      <c r="M15" s="670"/>
      <c r="N15" s="672"/>
    </row>
    <row r="16" spans="1:14" ht="15">
      <c r="A16" s="594"/>
      <c r="B16" s="634"/>
      <c r="C16" s="456"/>
      <c r="D16" s="635"/>
      <c r="E16" s="622"/>
      <c r="F16" s="456"/>
      <c r="G16" s="653"/>
      <c r="H16" s="634"/>
      <c r="I16" s="456"/>
      <c r="J16" s="653"/>
      <c r="K16" s="634"/>
      <c r="L16" s="504"/>
      <c r="M16" s="670"/>
      <c r="N16" s="672"/>
    </row>
    <row r="17" spans="1:14" ht="15">
      <c r="A17" s="594"/>
      <c r="B17" s="634"/>
      <c r="C17" s="456"/>
      <c r="D17" s="635"/>
      <c r="E17" s="622"/>
      <c r="F17" s="456"/>
      <c r="G17" s="653"/>
      <c r="H17" s="634"/>
      <c r="I17" s="456"/>
      <c r="J17" s="653"/>
      <c r="K17" s="634"/>
      <c r="L17" s="504"/>
      <c r="M17" s="670"/>
      <c r="N17" s="672"/>
    </row>
    <row r="18" spans="1:14" ht="15">
      <c r="A18" s="600"/>
      <c r="B18" s="638"/>
      <c r="C18" s="514"/>
      <c r="D18" s="639"/>
      <c r="E18" s="624"/>
      <c r="F18" s="514"/>
      <c r="G18" s="655"/>
      <c r="H18" s="638"/>
      <c r="I18" s="514"/>
      <c r="J18" s="655"/>
      <c r="K18" s="638"/>
      <c r="L18" s="504"/>
      <c r="M18" s="670"/>
      <c r="N18" s="672"/>
    </row>
    <row r="19" spans="1:14" ht="15">
      <c r="A19" s="601"/>
      <c r="B19" s="640"/>
      <c r="C19" s="466"/>
      <c r="D19" s="641"/>
      <c r="E19" s="625"/>
      <c r="F19" s="466"/>
      <c r="G19" s="656"/>
      <c r="H19" s="640"/>
      <c r="I19" s="466"/>
      <c r="J19" s="656"/>
      <c r="K19" s="640"/>
      <c r="L19" s="504"/>
      <c r="M19" s="670"/>
      <c r="N19" s="672"/>
    </row>
    <row r="20" spans="1:14" ht="15">
      <c r="A20" s="597"/>
      <c r="B20" s="634"/>
      <c r="C20" s="456"/>
      <c r="D20" s="635"/>
      <c r="E20" s="622"/>
      <c r="F20" s="456"/>
      <c r="G20" s="653"/>
      <c r="H20" s="634"/>
      <c r="I20" s="456"/>
      <c r="J20" s="653"/>
      <c r="K20" s="634"/>
      <c r="L20" s="504"/>
      <c r="M20" s="670"/>
      <c r="N20" s="672"/>
    </row>
    <row r="21" spans="1:14" ht="15">
      <c r="A21" s="602"/>
      <c r="B21" s="636"/>
      <c r="C21" s="512"/>
      <c r="D21" s="637"/>
      <c r="E21" s="623"/>
      <c r="F21" s="512"/>
      <c r="G21" s="654"/>
      <c r="H21" s="636"/>
      <c r="I21" s="512"/>
      <c r="J21" s="654"/>
      <c r="K21" s="636"/>
      <c r="L21" s="504"/>
      <c r="M21" s="670"/>
      <c r="N21" s="672"/>
    </row>
    <row r="22" spans="1:14" ht="15">
      <c r="A22" s="594"/>
      <c r="B22" s="634"/>
      <c r="C22" s="456"/>
      <c r="D22" s="635"/>
      <c r="E22" s="622"/>
      <c r="F22" s="456"/>
      <c r="G22" s="653"/>
      <c r="H22" s="634"/>
      <c r="I22" s="456"/>
      <c r="J22" s="653"/>
      <c r="K22" s="634"/>
      <c r="L22" s="504"/>
      <c r="M22" s="670"/>
      <c r="N22" s="672"/>
    </row>
    <row r="23" spans="1:14" ht="15">
      <c r="A23" s="603"/>
      <c r="B23" s="634"/>
      <c r="C23" s="456"/>
      <c r="D23" s="635"/>
      <c r="E23" s="622"/>
      <c r="F23" s="456"/>
      <c r="G23" s="653"/>
      <c r="H23" s="634"/>
      <c r="I23" s="456"/>
      <c r="J23" s="653"/>
      <c r="K23" s="634"/>
      <c r="L23" s="504"/>
      <c r="M23" s="670"/>
      <c r="N23" s="672"/>
    </row>
    <row r="24" spans="1:14" ht="15">
      <c r="A24" s="604"/>
      <c r="B24" s="634"/>
      <c r="C24" s="456"/>
      <c r="D24" s="635"/>
      <c r="E24" s="622"/>
      <c r="F24" s="456"/>
      <c r="G24" s="653"/>
      <c r="H24" s="634"/>
      <c r="I24" s="456"/>
      <c r="J24" s="653"/>
      <c r="K24" s="634"/>
      <c r="L24" s="504"/>
      <c r="M24" s="670"/>
      <c r="N24" s="672"/>
    </row>
    <row r="25" spans="1:14" ht="15">
      <c r="A25" s="604"/>
      <c r="B25" s="634"/>
      <c r="C25" s="456"/>
      <c r="D25" s="635"/>
      <c r="E25" s="622"/>
      <c r="F25" s="456"/>
      <c r="G25" s="653"/>
      <c r="H25" s="634"/>
      <c r="I25" s="456"/>
      <c r="J25" s="653"/>
      <c r="K25" s="634"/>
      <c r="L25" s="504"/>
      <c r="M25" s="670"/>
      <c r="N25" s="672"/>
    </row>
    <row r="26" spans="1:14" ht="15">
      <c r="A26" s="597"/>
      <c r="B26" s="634"/>
      <c r="C26" s="456"/>
      <c r="D26" s="635"/>
      <c r="E26" s="622"/>
      <c r="F26" s="456"/>
      <c r="G26" s="653"/>
      <c r="H26" s="634"/>
      <c r="I26" s="456"/>
      <c r="J26" s="653"/>
      <c r="K26" s="634"/>
      <c r="L26" s="504"/>
      <c r="M26" s="670"/>
      <c r="N26" s="672"/>
    </row>
    <row r="27" spans="1:14" ht="15">
      <c r="A27" s="605"/>
      <c r="B27" s="642"/>
      <c r="C27" s="484"/>
      <c r="D27" s="643"/>
      <c r="E27" s="626"/>
      <c r="F27" s="484"/>
      <c r="G27" s="657"/>
      <c r="H27" s="642"/>
      <c r="I27" s="484"/>
      <c r="J27" s="657"/>
      <c r="K27" s="642"/>
      <c r="L27" s="504"/>
      <c r="M27" s="670"/>
      <c r="N27" s="672"/>
    </row>
    <row r="28" spans="1:14" ht="15">
      <c r="A28" s="596"/>
      <c r="B28" s="634"/>
      <c r="C28" s="456"/>
      <c r="D28" s="635"/>
      <c r="E28" s="622"/>
      <c r="F28" s="456"/>
      <c r="G28" s="653"/>
      <c r="H28" s="634"/>
      <c r="I28" s="456"/>
      <c r="J28" s="653"/>
      <c r="K28" s="634"/>
      <c r="L28" s="504"/>
      <c r="M28" s="670"/>
      <c r="N28" s="672"/>
    </row>
    <row r="29" spans="1:14" ht="15">
      <c r="A29" s="604"/>
      <c r="B29" s="634"/>
      <c r="C29" s="456"/>
      <c r="D29" s="635"/>
      <c r="E29" s="622"/>
      <c r="F29" s="456"/>
      <c r="G29" s="653"/>
      <c r="H29" s="634"/>
      <c r="I29" s="456"/>
      <c r="J29" s="653"/>
      <c r="K29" s="634"/>
      <c r="L29" s="504"/>
      <c r="M29" s="670"/>
      <c r="N29" s="672"/>
    </row>
    <row r="30" spans="1:14" ht="15">
      <c r="A30" s="606"/>
      <c r="B30" s="640"/>
      <c r="C30" s="466"/>
      <c r="D30" s="641"/>
      <c r="E30" s="625"/>
      <c r="F30" s="466"/>
      <c r="G30" s="656"/>
      <c r="H30" s="640"/>
      <c r="I30" s="466"/>
      <c r="J30" s="656"/>
      <c r="K30" s="640"/>
      <c r="L30" s="504"/>
      <c r="M30" s="670"/>
      <c r="N30" s="672"/>
    </row>
    <row r="31" spans="1:14" ht="15">
      <c r="A31" s="599"/>
      <c r="B31" s="638"/>
      <c r="C31" s="514"/>
      <c r="D31" s="639"/>
      <c r="E31" s="624"/>
      <c r="F31" s="514"/>
      <c r="G31" s="655"/>
      <c r="H31" s="638"/>
      <c r="I31" s="514"/>
      <c r="J31" s="655"/>
      <c r="K31" s="666"/>
      <c r="L31" s="504"/>
      <c r="M31" s="670"/>
      <c r="N31" s="672"/>
    </row>
    <row r="32" spans="1:14" ht="15">
      <c r="A32" s="597"/>
      <c r="B32" s="634"/>
      <c r="C32" s="456"/>
      <c r="D32" s="635"/>
      <c r="E32" s="622"/>
      <c r="F32" s="456"/>
      <c r="G32" s="653"/>
      <c r="H32" s="634"/>
      <c r="I32" s="456"/>
      <c r="J32" s="653"/>
      <c r="K32" s="634"/>
      <c r="L32" s="504"/>
      <c r="M32" s="670"/>
      <c r="N32" s="672"/>
    </row>
    <row r="33" spans="1:14" ht="15">
      <c r="A33" s="607"/>
      <c r="B33" s="640"/>
      <c r="C33" s="466"/>
      <c r="D33" s="641"/>
      <c r="E33" s="625"/>
      <c r="F33" s="466"/>
      <c r="G33" s="656"/>
      <c r="H33" s="640"/>
      <c r="I33" s="466"/>
      <c r="J33" s="656"/>
      <c r="K33" s="640"/>
      <c r="L33" s="504"/>
      <c r="M33" s="670"/>
      <c r="N33" s="672"/>
    </row>
    <row r="34" spans="1:14" ht="15">
      <c r="A34" s="606"/>
      <c r="B34" s="640"/>
      <c r="C34" s="466"/>
      <c r="D34" s="641"/>
      <c r="E34" s="625"/>
      <c r="F34" s="466"/>
      <c r="G34" s="656"/>
      <c r="H34" s="640"/>
      <c r="I34" s="466"/>
      <c r="J34" s="656"/>
      <c r="K34" s="640"/>
      <c r="L34" s="504"/>
      <c r="M34" s="670"/>
      <c r="N34" s="672"/>
    </row>
    <row r="35" spans="1:14" ht="15">
      <c r="A35" s="606"/>
      <c r="B35" s="640"/>
      <c r="C35" s="466"/>
      <c r="D35" s="641"/>
      <c r="E35" s="625"/>
      <c r="F35" s="466"/>
      <c r="G35" s="656"/>
      <c r="H35" s="640"/>
      <c r="I35" s="466"/>
      <c r="J35" s="656"/>
      <c r="K35" s="640"/>
      <c r="L35" s="504"/>
      <c r="M35" s="670"/>
      <c r="N35" s="672"/>
    </row>
    <row r="36" spans="1:14" ht="15">
      <c r="A36" s="608"/>
      <c r="B36" s="640"/>
      <c r="C36" s="466"/>
      <c r="D36" s="641"/>
      <c r="E36" s="625"/>
      <c r="F36" s="466"/>
      <c r="G36" s="656"/>
      <c r="H36" s="640"/>
      <c r="I36" s="466"/>
      <c r="J36" s="656"/>
      <c r="K36" s="640"/>
      <c r="L36" s="504"/>
      <c r="M36" s="670"/>
      <c r="N36" s="672"/>
    </row>
    <row r="37" spans="1:14" ht="15">
      <c r="A37" s="607"/>
      <c r="B37" s="640"/>
      <c r="C37" s="466"/>
      <c r="D37" s="641"/>
      <c r="E37" s="625"/>
      <c r="F37" s="466"/>
      <c r="G37" s="656"/>
      <c r="H37" s="640"/>
      <c r="I37" s="466"/>
      <c r="J37" s="656"/>
      <c r="K37" s="640"/>
      <c r="L37" s="504"/>
      <c r="M37" s="670"/>
      <c r="N37" s="672"/>
    </row>
    <row r="38" spans="1:14" ht="15">
      <c r="A38" s="607"/>
      <c r="B38" s="640"/>
      <c r="C38" s="466"/>
      <c r="D38" s="641"/>
      <c r="E38" s="625"/>
      <c r="F38" s="466"/>
      <c r="G38" s="656"/>
      <c r="H38" s="640"/>
      <c r="I38" s="466"/>
      <c r="J38" s="656"/>
      <c r="K38" s="640"/>
      <c r="L38" s="504"/>
      <c r="M38" s="670"/>
      <c r="N38" s="672"/>
    </row>
    <row r="39" spans="1:14" ht="15">
      <c r="A39" s="607"/>
      <c r="B39" s="640"/>
      <c r="C39" s="466"/>
      <c r="D39" s="641"/>
      <c r="E39" s="625"/>
      <c r="F39" s="466"/>
      <c r="G39" s="656"/>
      <c r="H39" s="640"/>
      <c r="I39" s="466"/>
      <c r="J39" s="656"/>
      <c r="K39" s="640"/>
      <c r="L39" s="504"/>
      <c r="M39" s="670"/>
      <c r="N39" s="672"/>
    </row>
    <row r="40" spans="1:14" ht="15">
      <c r="A40" s="607"/>
      <c r="B40" s="640"/>
      <c r="C40" s="466"/>
      <c r="D40" s="641"/>
      <c r="E40" s="625"/>
      <c r="F40" s="466"/>
      <c r="G40" s="656"/>
      <c r="H40" s="640"/>
      <c r="I40" s="466"/>
      <c r="J40" s="656"/>
      <c r="K40" s="640"/>
      <c r="L40" s="504"/>
      <c r="M40" s="670"/>
      <c r="N40" s="672"/>
    </row>
    <row r="41" spans="1:14" ht="15">
      <c r="A41" s="607"/>
      <c r="B41" s="640"/>
      <c r="C41" s="466"/>
      <c r="D41" s="641"/>
      <c r="E41" s="625"/>
      <c r="F41" s="466"/>
      <c r="G41" s="656"/>
      <c r="H41" s="640"/>
      <c r="I41" s="466"/>
      <c r="J41" s="656"/>
      <c r="K41" s="640"/>
      <c r="L41" s="504"/>
      <c r="M41" s="670"/>
      <c r="N41" s="672"/>
    </row>
    <row r="42" spans="1:14" ht="15">
      <c r="A42" s="607"/>
      <c r="B42" s="640"/>
      <c r="C42" s="466"/>
      <c r="D42" s="641"/>
      <c r="E42" s="625"/>
      <c r="F42" s="466"/>
      <c r="G42" s="656"/>
      <c r="H42" s="640"/>
      <c r="I42" s="466"/>
      <c r="J42" s="656"/>
      <c r="K42" s="640"/>
      <c r="L42" s="504"/>
      <c r="M42" s="670"/>
      <c r="N42" s="672"/>
    </row>
    <row r="43" spans="1:14" ht="15">
      <c r="A43" s="607"/>
      <c r="B43" s="640"/>
      <c r="C43" s="466"/>
      <c r="D43" s="641"/>
      <c r="E43" s="625"/>
      <c r="F43" s="466"/>
      <c r="G43" s="656"/>
      <c r="H43" s="640"/>
      <c r="I43" s="466"/>
      <c r="J43" s="656"/>
      <c r="K43" s="640"/>
      <c r="L43" s="504"/>
      <c r="M43" s="670"/>
      <c r="N43" s="672"/>
    </row>
    <row r="44" spans="1:14" ht="15">
      <c r="A44" s="607"/>
      <c r="B44" s="640"/>
      <c r="C44" s="466"/>
      <c r="D44" s="641"/>
      <c r="E44" s="625"/>
      <c r="F44" s="466"/>
      <c r="G44" s="656"/>
      <c r="H44" s="640"/>
      <c r="I44" s="466"/>
      <c r="J44" s="656"/>
      <c r="K44" s="640"/>
      <c r="L44" s="504"/>
      <c r="M44" s="670"/>
      <c r="N44" s="672"/>
    </row>
    <row r="45" spans="1:14" ht="15">
      <c r="A45" s="607"/>
      <c r="B45" s="640"/>
      <c r="C45" s="466"/>
      <c r="D45" s="641"/>
      <c r="E45" s="625"/>
      <c r="F45" s="466"/>
      <c r="G45" s="656"/>
      <c r="H45" s="640"/>
      <c r="I45" s="466"/>
      <c r="J45" s="656"/>
      <c r="K45" s="640"/>
      <c r="L45" s="504"/>
      <c r="M45" s="670"/>
      <c r="N45" s="672"/>
    </row>
    <row r="46" spans="1:14" ht="15">
      <c r="A46" s="607"/>
      <c r="B46" s="640"/>
      <c r="C46" s="466"/>
      <c r="D46" s="641"/>
      <c r="E46" s="625"/>
      <c r="F46" s="466"/>
      <c r="G46" s="656"/>
      <c r="H46" s="640"/>
      <c r="I46" s="466"/>
      <c r="J46" s="656"/>
      <c r="K46" s="640"/>
      <c r="L46" s="504"/>
      <c r="M46" s="670"/>
      <c r="N46" s="672"/>
    </row>
    <row r="47" spans="1:14" ht="15">
      <c r="A47" s="604"/>
      <c r="B47" s="634"/>
      <c r="C47" s="456"/>
      <c r="D47" s="635"/>
      <c r="E47" s="622"/>
      <c r="F47" s="456"/>
      <c r="G47" s="653"/>
      <c r="H47" s="634"/>
      <c r="I47" s="456"/>
      <c r="J47" s="653"/>
      <c r="K47" s="634"/>
      <c r="L47" s="504"/>
      <c r="M47" s="670"/>
      <c r="N47" s="672"/>
    </row>
    <row r="48" spans="1:14" ht="15">
      <c r="A48" s="607"/>
      <c r="B48" s="640"/>
      <c r="C48" s="466"/>
      <c r="D48" s="641"/>
      <c r="E48" s="625"/>
      <c r="F48" s="466"/>
      <c r="G48" s="656"/>
      <c r="H48" s="640"/>
      <c r="I48" s="466"/>
      <c r="J48" s="656"/>
      <c r="K48" s="640"/>
      <c r="L48" s="504"/>
      <c r="M48" s="670"/>
      <c r="N48" s="672"/>
    </row>
    <row r="49" spans="1:14" ht="15">
      <c r="A49" s="609"/>
      <c r="B49" s="640"/>
      <c r="C49" s="466"/>
      <c r="D49" s="641"/>
      <c r="E49" s="625"/>
      <c r="F49" s="466"/>
      <c r="G49" s="656"/>
      <c r="H49" s="640"/>
      <c r="I49" s="466"/>
      <c r="J49" s="656"/>
      <c r="K49" s="640"/>
      <c r="L49" s="504"/>
      <c r="M49" s="670"/>
      <c r="N49" s="672"/>
    </row>
    <row r="50" spans="1:14" ht="15">
      <c r="A50" s="607"/>
      <c r="B50" s="640"/>
      <c r="C50" s="466"/>
      <c r="D50" s="641"/>
      <c r="E50" s="625"/>
      <c r="F50" s="466"/>
      <c r="G50" s="656"/>
      <c r="H50" s="640"/>
      <c r="I50" s="466"/>
      <c r="J50" s="656"/>
      <c r="K50" s="640"/>
      <c r="L50" s="504"/>
      <c r="M50" s="670"/>
      <c r="N50" s="672"/>
    </row>
    <row r="51" spans="1:14" ht="15">
      <c r="A51" s="609"/>
      <c r="B51" s="640"/>
      <c r="C51" s="466"/>
      <c r="D51" s="641"/>
      <c r="E51" s="625"/>
      <c r="F51" s="466"/>
      <c r="G51" s="656"/>
      <c r="H51" s="640"/>
      <c r="I51" s="466"/>
      <c r="J51" s="656"/>
      <c r="K51" s="640"/>
      <c r="L51" s="504"/>
      <c r="M51" s="670"/>
      <c r="N51" s="672"/>
    </row>
    <row r="52" spans="1:14" ht="15">
      <c r="A52" s="607"/>
      <c r="B52" s="640"/>
      <c r="C52" s="466"/>
      <c r="D52" s="641"/>
      <c r="E52" s="625"/>
      <c r="F52" s="466"/>
      <c r="G52" s="656"/>
      <c r="H52" s="640"/>
      <c r="I52" s="466"/>
      <c r="J52" s="656"/>
      <c r="K52" s="640"/>
      <c r="L52" s="504"/>
      <c r="M52" s="670"/>
      <c r="N52" s="672"/>
    </row>
    <row r="53" spans="1:14" ht="15">
      <c r="A53" s="609"/>
      <c r="B53" s="640"/>
      <c r="C53" s="466"/>
      <c r="D53" s="641"/>
      <c r="E53" s="625"/>
      <c r="F53" s="466"/>
      <c r="G53" s="656"/>
      <c r="H53" s="640"/>
      <c r="I53" s="466"/>
      <c r="J53" s="656"/>
      <c r="K53" s="640"/>
      <c r="L53" s="504"/>
      <c r="M53" s="670"/>
      <c r="N53" s="672"/>
    </row>
    <row r="54" spans="1:14" ht="15">
      <c r="A54" s="597"/>
      <c r="B54" s="634"/>
      <c r="C54" s="456"/>
      <c r="D54" s="635"/>
      <c r="E54" s="622"/>
      <c r="F54" s="456"/>
      <c r="G54" s="653"/>
      <c r="H54" s="634"/>
      <c r="I54" s="456"/>
      <c r="J54" s="653"/>
      <c r="K54" s="634"/>
      <c r="L54" s="504"/>
      <c r="M54" s="670"/>
      <c r="N54" s="672"/>
    </row>
    <row r="55" spans="1:14" ht="15">
      <c r="A55" s="606"/>
      <c r="B55" s="640"/>
      <c r="C55" s="466"/>
      <c r="D55" s="641"/>
      <c r="E55" s="625"/>
      <c r="F55" s="466"/>
      <c r="G55" s="656"/>
      <c r="H55" s="640"/>
      <c r="I55" s="466"/>
      <c r="J55" s="656"/>
      <c r="K55" s="640"/>
      <c r="L55" s="504"/>
      <c r="M55" s="670"/>
      <c r="N55" s="672"/>
    </row>
    <row r="56" spans="1:14" ht="15">
      <c r="A56" s="595"/>
      <c r="B56" s="634"/>
      <c r="C56" s="456"/>
      <c r="D56" s="635"/>
      <c r="E56" s="622"/>
      <c r="F56" s="456"/>
      <c r="G56" s="653"/>
      <c r="H56" s="634"/>
      <c r="I56" s="456"/>
      <c r="J56" s="653"/>
      <c r="K56" s="634"/>
      <c r="L56" s="504"/>
      <c r="M56" s="670"/>
      <c r="N56" s="672"/>
    </row>
    <row r="57" spans="1:14" ht="15">
      <c r="A57" s="607"/>
      <c r="B57" s="640"/>
      <c r="C57" s="466"/>
      <c r="D57" s="641"/>
      <c r="E57" s="625"/>
      <c r="F57" s="466"/>
      <c r="G57" s="656"/>
      <c r="H57" s="640"/>
      <c r="I57" s="466"/>
      <c r="J57" s="656"/>
      <c r="K57" s="640"/>
      <c r="L57" s="504"/>
      <c r="M57" s="670"/>
      <c r="N57" s="672"/>
    </row>
    <row r="58" spans="1:14" ht="15">
      <c r="A58" s="604"/>
      <c r="B58" s="634"/>
      <c r="C58" s="456"/>
      <c r="D58" s="635"/>
      <c r="E58" s="622"/>
      <c r="F58" s="456"/>
      <c r="G58" s="653"/>
      <c r="H58" s="634"/>
      <c r="I58" s="456"/>
      <c r="J58" s="653"/>
      <c r="K58" s="634"/>
      <c r="L58" s="504"/>
      <c r="M58" s="670"/>
      <c r="N58" s="672"/>
    </row>
    <row r="59" spans="1:14" ht="15">
      <c r="A59" s="607"/>
      <c r="B59" s="640"/>
      <c r="C59" s="466"/>
      <c r="D59" s="641"/>
      <c r="E59" s="625"/>
      <c r="F59" s="466"/>
      <c r="G59" s="656"/>
      <c r="H59" s="640"/>
      <c r="I59" s="466"/>
      <c r="J59" s="656"/>
      <c r="K59" s="640"/>
      <c r="L59" s="504"/>
      <c r="M59" s="670"/>
      <c r="N59" s="672"/>
    </row>
    <row r="60" spans="1:14" ht="15">
      <c r="A60" s="604"/>
      <c r="B60" s="634"/>
      <c r="C60" s="456"/>
      <c r="D60" s="635"/>
      <c r="E60" s="622"/>
      <c r="F60" s="456"/>
      <c r="G60" s="653"/>
      <c r="H60" s="634"/>
      <c r="I60" s="456"/>
      <c r="J60" s="653"/>
      <c r="K60" s="634"/>
      <c r="L60" s="504"/>
      <c r="M60" s="670"/>
      <c r="N60" s="672"/>
    </row>
    <row r="61" spans="1:14" ht="15">
      <c r="A61" s="604"/>
      <c r="B61" s="634"/>
      <c r="C61" s="456"/>
      <c r="D61" s="635"/>
      <c r="E61" s="622"/>
      <c r="F61" s="456"/>
      <c r="G61" s="653"/>
      <c r="H61" s="634"/>
      <c r="I61" s="456"/>
      <c r="J61" s="653"/>
      <c r="K61" s="634"/>
      <c r="L61" s="504"/>
      <c r="M61" s="670"/>
      <c r="N61" s="672"/>
    </row>
    <row r="62" spans="1:14" ht="15">
      <c r="A62" s="604"/>
      <c r="B62" s="634"/>
      <c r="C62" s="456"/>
      <c r="D62" s="635"/>
      <c r="E62" s="622"/>
      <c r="F62" s="456"/>
      <c r="G62" s="653"/>
      <c r="H62" s="634"/>
      <c r="I62" s="456"/>
      <c r="J62" s="653"/>
      <c r="K62" s="634"/>
      <c r="L62" s="504"/>
      <c r="M62" s="670"/>
      <c r="N62" s="672"/>
    </row>
    <row r="63" spans="1:14" ht="15">
      <c r="A63" s="600"/>
      <c r="B63" s="638"/>
      <c r="C63" s="514"/>
      <c r="D63" s="639"/>
      <c r="E63" s="624"/>
      <c r="F63" s="514"/>
      <c r="G63" s="655"/>
      <c r="H63" s="638"/>
      <c r="I63" s="514"/>
      <c r="J63" s="655"/>
      <c r="K63" s="638"/>
      <c r="L63" s="504"/>
      <c r="M63" s="670"/>
      <c r="N63" s="672"/>
    </row>
    <row r="64" spans="1:14" ht="15">
      <c r="A64" s="604"/>
      <c r="B64" s="634"/>
      <c r="C64" s="456"/>
      <c r="D64" s="635"/>
      <c r="E64" s="622"/>
      <c r="F64" s="456"/>
      <c r="G64" s="653"/>
      <c r="H64" s="634"/>
      <c r="I64" s="456"/>
      <c r="J64" s="653"/>
      <c r="K64" s="634"/>
      <c r="L64" s="504"/>
      <c r="M64" s="670"/>
      <c r="N64" s="672"/>
    </row>
    <row r="65" spans="1:14" ht="15">
      <c r="A65" s="606"/>
      <c r="B65" s="640"/>
      <c r="C65" s="466"/>
      <c r="D65" s="641"/>
      <c r="E65" s="625"/>
      <c r="F65" s="466"/>
      <c r="G65" s="656"/>
      <c r="H65" s="640"/>
      <c r="I65" s="466"/>
      <c r="J65" s="656"/>
      <c r="K65" s="640"/>
      <c r="L65" s="504"/>
      <c r="M65" s="670"/>
      <c r="N65" s="672"/>
    </row>
    <row r="66" spans="1:14" ht="15">
      <c r="A66" s="598"/>
      <c r="B66" s="636"/>
      <c r="C66" s="512"/>
      <c r="D66" s="637"/>
      <c r="E66" s="623"/>
      <c r="F66" s="512"/>
      <c r="G66" s="654"/>
      <c r="H66" s="636"/>
      <c r="I66" s="512"/>
      <c r="J66" s="654"/>
      <c r="K66" s="636"/>
      <c r="L66" s="504"/>
      <c r="M66" s="670"/>
      <c r="N66" s="672"/>
    </row>
    <row r="67" spans="1:14" ht="15">
      <c r="A67" s="598"/>
      <c r="B67" s="636"/>
      <c r="C67" s="512"/>
      <c r="D67" s="637"/>
      <c r="E67" s="623"/>
      <c r="F67" s="512"/>
      <c r="G67" s="654"/>
      <c r="H67" s="636"/>
      <c r="I67" s="512"/>
      <c r="J67" s="654"/>
      <c r="K67" s="636"/>
      <c r="L67" s="504"/>
      <c r="M67" s="670"/>
      <c r="N67" s="672"/>
    </row>
    <row r="68" spans="1:14" ht="15">
      <c r="A68" s="604"/>
      <c r="B68" s="634"/>
      <c r="C68" s="456"/>
      <c r="D68" s="635"/>
      <c r="E68" s="622"/>
      <c r="F68" s="456"/>
      <c r="G68" s="653"/>
      <c r="H68" s="634"/>
      <c r="I68" s="456"/>
      <c r="J68" s="653"/>
      <c r="K68" s="634"/>
      <c r="L68" s="504"/>
      <c r="M68" s="670"/>
      <c r="N68" s="672"/>
    </row>
    <row r="69" spans="1:14" ht="15">
      <c r="A69" s="610"/>
      <c r="B69" s="642"/>
      <c r="C69" s="484"/>
      <c r="D69" s="643"/>
      <c r="E69" s="626"/>
      <c r="F69" s="484"/>
      <c r="G69" s="657"/>
      <c r="H69" s="642"/>
      <c r="I69" s="484"/>
      <c r="J69" s="657"/>
      <c r="K69" s="642"/>
      <c r="L69" s="504"/>
      <c r="M69" s="670"/>
      <c r="N69" s="672"/>
    </row>
    <row r="70" spans="1:14" ht="15">
      <c r="A70" s="600"/>
      <c r="B70" s="638"/>
      <c r="C70" s="514"/>
      <c r="D70" s="639"/>
      <c r="E70" s="624"/>
      <c r="F70" s="514"/>
      <c r="G70" s="655"/>
      <c r="H70" s="638"/>
      <c r="I70" s="514"/>
      <c r="J70" s="655"/>
      <c r="K70" s="638"/>
      <c r="L70" s="504"/>
      <c r="M70" s="670"/>
      <c r="N70" s="672"/>
    </row>
    <row r="71" spans="1:14" ht="15">
      <c r="A71" s="600"/>
      <c r="B71" s="638"/>
      <c r="C71" s="514"/>
      <c r="D71" s="639"/>
      <c r="E71" s="624"/>
      <c r="F71" s="514"/>
      <c r="G71" s="655"/>
      <c r="H71" s="638"/>
      <c r="I71" s="514"/>
      <c r="J71" s="655"/>
      <c r="K71" s="638"/>
      <c r="L71" s="504"/>
      <c r="M71" s="670"/>
      <c r="N71" s="672"/>
    </row>
    <row r="72" spans="1:14" ht="15">
      <c r="A72" s="600"/>
      <c r="B72" s="638"/>
      <c r="C72" s="514"/>
      <c r="D72" s="639"/>
      <c r="E72" s="624"/>
      <c r="F72" s="514"/>
      <c r="G72" s="655"/>
      <c r="H72" s="638"/>
      <c r="I72" s="514"/>
      <c r="J72" s="655"/>
      <c r="K72" s="638"/>
      <c r="L72" s="504"/>
      <c r="M72" s="670"/>
      <c r="N72" s="672"/>
    </row>
    <row r="73" spans="1:14" ht="15">
      <c r="A73" s="600"/>
      <c r="B73" s="638"/>
      <c r="C73" s="514"/>
      <c r="D73" s="639"/>
      <c r="E73" s="624"/>
      <c r="F73" s="514"/>
      <c r="G73" s="655"/>
      <c r="H73" s="638"/>
      <c r="I73" s="514"/>
      <c r="J73" s="655"/>
      <c r="K73" s="638"/>
      <c r="L73" s="504"/>
      <c r="M73" s="670"/>
      <c r="N73" s="672"/>
    </row>
    <row r="74" spans="1:14" ht="15">
      <c r="A74" s="595"/>
      <c r="B74" s="634"/>
      <c r="C74" s="456"/>
      <c r="D74" s="635"/>
      <c r="E74" s="622"/>
      <c r="F74" s="456"/>
      <c r="G74" s="653"/>
      <c r="H74" s="634"/>
      <c r="I74" s="456"/>
      <c r="J74" s="653"/>
      <c r="K74" s="634"/>
      <c r="L74" s="504"/>
      <c r="M74" s="670"/>
      <c r="N74" s="672"/>
    </row>
    <row r="75" spans="1:14" ht="15">
      <c r="A75" s="605"/>
      <c r="B75" s="642"/>
      <c r="C75" s="484"/>
      <c r="D75" s="643"/>
      <c r="E75" s="626"/>
      <c r="F75" s="484"/>
      <c r="G75" s="657"/>
      <c r="H75" s="642"/>
      <c r="I75" s="484"/>
      <c r="J75" s="657"/>
      <c r="K75" s="642"/>
      <c r="L75" s="504"/>
      <c r="M75" s="670"/>
      <c r="N75" s="672"/>
    </row>
    <row r="76" spans="1:14" ht="15">
      <c r="A76" s="600"/>
      <c r="B76" s="638"/>
      <c r="C76" s="514"/>
      <c r="D76" s="639"/>
      <c r="E76" s="624"/>
      <c r="F76" s="514"/>
      <c r="G76" s="655"/>
      <c r="H76" s="638"/>
      <c r="I76" s="514"/>
      <c r="J76" s="655"/>
      <c r="K76" s="638"/>
      <c r="L76" s="504"/>
      <c r="M76" s="670"/>
      <c r="N76" s="672"/>
    </row>
    <row r="77" spans="1:14" ht="15">
      <c r="A77" s="604"/>
      <c r="B77" s="634"/>
      <c r="C77" s="456"/>
      <c r="D77" s="635"/>
      <c r="E77" s="622"/>
      <c r="F77" s="456"/>
      <c r="G77" s="653"/>
      <c r="H77" s="634"/>
      <c r="I77" s="456"/>
      <c r="J77" s="653"/>
      <c r="K77" s="634"/>
      <c r="L77" s="504"/>
      <c r="M77" s="670"/>
      <c r="N77" s="672"/>
    </row>
    <row r="78" spans="1:14" ht="15">
      <c r="A78" s="600"/>
      <c r="B78" s="638"/>
      <c r="C78" s="514"/>
      <c r="D78" s="639"/>
      <c r="E78" s="624"/>
      <c r="F78" s="514"/>
      <c r="G78" s="655"/>
      <c r="H78" s="638"/>
      <c r="I78" s="514"/>
      <c r="J78" s="655"/>
      <c r="K78" s="638"/>
      <c r="L78" s="504"/>
      <c r="M78" s="670"/>
      <c r="N78" s="672"/>
    </row>
    <row r="79" spans="1:14" ht="15">
      <c r="A79" s="601"/>
      <c r="B79" s="640"/>
      <c r="C79" s="466"/>
      <c r="D79" s="641"/>
      <c r="E79" s="627" t="s">
        <v>579</v>
      </c>
      <c r="F79" s="574"/>
      <c r="G79" s="658"/>
      <c r="H79" s="663">
        <v>41382</v>
      </c>
      <c r="I79" s="525"/>
      <c r="J79" s="664"/>
      <c r="K79" s="667"/>
      <c r="L79" s="504"/>
      <c r="M79" s="670"/>
      <c r="N79" s="672"/>
    </row>
    <row r="80" spans="1:14" ht="15">
      <c r="A80" s="600"/>
      <c r="B80" s="638"/>
      <c r="C80" s="514"/>
      <c r="D80" s="639"/>
      <c r="E80" s="624"/>
      <c r="F80" s="514"/>
      <c r="G80" s="655"/>
      <c r="H80" s="638"/>
      <c r="I80" s="514"/>
      <c r="J80" s="655"/>
      <c r="K80" s="638"/>
      <c r="L80" s="504"/>
      <c r="M80" s="670"/>
      <c r="N80" s="672"/>
    </row>
    <row r="81" spans="1:14" ht="15">
      <c r="A81" s="599"/>
      <c r="B81" s="638"/>
      <c r="C81" s="514"/>
      <c r="D81" s="639"/>
      <c r="E81" s="624"/>
      <c r="F81" s="514"/>
      <c r="G81" s="655"/>
      <c r="H81" s="638"/>
      <c r="I81" s="514"/>
      <c r="J81" s="655"/>
      <c r="K81" s="638"/>
      <c r="L81" s="504"/>
      <c r="M81" s="670"/>
      <c r="N81" s="672"/>
    </row>
    <row r="82" spans="1:14" ht="15">
      <c r="A82" s="611"/>
      <c r="B82" s="644"/>
      <c r="C82" s="480"/>
      <c r="D82" s="645"/>
      <c r="E82" s="628"/>
      <c r="F82" s="480"/>
      <c r="G82" s="659"/>
      <c r="H82" s="644"/>
      <c r="I82" s="480"/>
      <c r="J82" s="659"/>
      <c r="K82" s="644"/>
      <c r="L82" s="504"/>
      <c r="M82" s="670"/>
      <c r="N82" s="672"/>
    </row>
    <row r="83" spans="1:14" ht="15">
      <c r="A83" s="597"/>
      <c r="B83" s="634"/>
      <c r="C83" s="456"/>
      <c r="D83" s="635"/>
      <c r="E83" s="622"/>
      <c r="F83" s="456"/>
      <c r="G83" s="653"/>
      <c r="H83" s="634"/>
      <c r="I83" s="456"/>
      <c r="J83" s="653"/>
      <c r="K83" s="634"/>
      <c r="L83" s="504"/>
      <c r="M83" s="670"/>
      <c r="N83" s="672"/>
    </row>
    <row r="84" spans="1:14" ht="15">
      <c r="A84" s="597"/>
      <c r="B84" s="634"/>
      <c r="C84" s="456"/>
      <c r="D84" s="635"/>
      <c r="E84" s="622"/>
      <c r="F84" s="456"/>
      <c r="G84" s="653"/>
      <c r="H84" s="634"/>
      <c r="I84" s="456"/>
      <c r="J84" s="653"/>
      <c r="K84" s="634"/>
      <c r="L84" s="504"/>
      <c r="M84" s="670"/>
      <c r="N84" s="672"/>
    </row>
    <row r="85" spans="1:14" ht="15">
      <c r="A85" s="596"/>
      <c r="B85" s="634"/>
      <c r="C85" s="456"/>
      <c r="D85" s="635"/>
      <c r="E85" s="622"/>
      <c r="F85" s="456"/>
      <c r="G85" s="653"/>
      <c r="H85" s="634"/>
      <c r="I85" s="456"/>
      <c r="J85" s="653"/>
      <c r="K85" s="634"/>
      <c r="L85" s="504"/>
      <c r="M85" s="670"/>
      <c r="N85" s="672"/>
    </row>
    <row r="86" spans="1:14" ht="15">
      <c r="A86" s="595"/>
      <c r="B86" s="634"/>
      <c r="C86" s="456"/>
      <c r="D86" s="635"/>
      <c r="E86" s="622"/>
      <c r="F86" s="456"/>
      <c r="G86" s="653"/>
      <c r="H86" s="634"/>
      <c r="I86" s="456"/>
      <c r="J86" s="653"/>
      <c r="K86" s="634"/>
      <c r="L86" s="504"/>
      <c r="M86" s="670"/>
      <c r="N86" s="672"/>
    </row>
    <row r="87" spans="1:14" ht="15">
      <c r="A87" s="599"/>
      <c r="B87" s="638"/>
      <c r="C87" s="514"/>
      <c r="D87" s="639"/>
      <c r="E87" s="624"/>
      <c r="F87" s="514"/>
      <c r="G87" s="655"/>
      <c r="H87" s="638"/>
      <c r="I87" s="514"/>
      <c r="J87" s="655"/>
      <c r="K87" s="638"/>
      <c r="L87" s="504"/>
      <c r="M87" s="670"/>
      <c r="N87" s="672"/>
    </row>
    <row r="88" spans="1:14" ht="15">
      <c r="A88" s="597"/>
      <c r="B88" s="634"/>
      <c r="C88" s="456"/>
      <c r="D88" s="635"/>
      <c r="E88" s="622"/>
      <c r="F88" s="456"/>
      <c r="G88" s="653"/>
      <c r="H88" s="634"/>
      <c r="I88" s="456"/>
      <c r="J88" s="653"/>
      <c r="K88" s="634"/>
      <c r="L88" s="504"/>
      <c r="M88" s="670"/>
      <c r="N88" s="672"/>
    </row>
    <row r="89" spans="1:14" ht="15">
      <c r="A89" s="608"/>
      <c r="B89" s="640"/>
      <c r="C89" s="466"/>
      <c r="D89" s="641"/>
      <c r="E89" s="625"/>
      <c r="F89" s="466"/>
      <c r="G89" s="656"/>
      <c r="H89" s="640"/>
      <c r="I89" s="466"/>
      <c r="J89" s="656"/>
      <c r="K89" s="640"/>
      <c r="L89" s="504"/>
      <c r="M89" s="670"/>
      <c r="N89" s="672"/>
    </row>
    <row r="90" spans="1:14" ht="15">
      <c r="A90" s="597"/>
      <c r="B90" s="634"/>
      <c r="C90" s="456"/>
      <c r="D90" s="635"/>
      <c r="E90" s="622"/>
      <c r="F90" s="456"/>
      <c r="G90" s="653"/>
      <c r="H90" s="634"/>
      <c r="I90" s="456"/>
      <c r="J90" s="653"/>
      <c r="K90" s="634"/>
      <c r="L90" s="504"/>
      <c r="M90" s="670"/>
      <c r="N90" s="672"/>
    </row>
    <row r="91" spans="1:14" ht="15">
      <c r="A91" s="597"/>
      <c r="B91" s="634"/>
      <c r="C91" s="456"/>
      <c r="D91" s="635"/>
      <c r="E91" s="622"/>
      <c r="F91" s="456"/>
      <c r="G91" s="653"/>
      <c r="H91" s="634"/>
      <c r="I91" s="456"/>
      <c r="J91" s="653"/>
      <c r="K91" s="634"/>
      <c r="L91" s="504"/>
      <c r="M91" s="670"/>
      <c r="N91" s="672"/>
    </row>
    <row r="92" spans="1:14" ht="15">
      <c r="A92" s="598"/>
      <c r="B92" s="636"/>
      <c r="C92" s="512"/>
      <c r="D92" s="637"/>
      <c r="E92" s="623"/>
      <c r="F92" s="512"/>
      <c r="G92" s="654"/>
      <c r="H92" s="636"/>
      <c r="I92" s="512"/>
      <c r="J92" s="654"/>
      <c r="K92" s="636"/>
      <c r="L92" s="504"/>
      <c r="M92" s="670"/>
      <c r="N92" s="672"/>
    </row>
    <row r="93" spans="1:14" ht="15">
      <c r="A93" s="601"/>
      <c r="B93" s="640"/>
      <c r="C93" s="466"/>
      <c r="D93" s="641"/>
      <c r="E93" s="625"/>
      <c r="F93" s="466"/>
      <c r="G93" s="656"/>
      <c r="H93" s="640"/>
      <c r="I93" s="466"/>
      <c r="J93" s="656"/>
      <c r="K93" s="640"/>
      <c r="L93" s="504"/>
      <c r="M93" s="670"/>
      <c r="N93" s="672"/>
    </row>
    <row r="94" spans="1:14" ht="15">
      <c r="A94" s="601"/>
      <c r="B94" s="640"/>
      <c r="C94" s="466"/>
      <c r="D94" s="641"/>
      <c r="E94" s="625"/>
      <c r="F94" s="466"/>
      <c r="G94" s="656"/>
      <c r="H94" s="640"/>
      <c r="I94" s="466"/>
      <c r="J94" s="656"/>
      <c r="K94" s="640"/>
      <c r="L94" s="504"/>
      <c r="M94" s="670"/>
      <c r="N94" s="672"/>
    </row>
    <row r="95" spans="1:14" ht="15">
      <c r="A95" s="601"/>
      <c r="B95" s="640"/>
      <c r="C95" s="466"/>
      <c r="D95" s="641"/>
      <c r="E95" s="625"/>
      <c r="F95" s="466"/>
      <c r="G95" s="656"/>
      <c r="H95" s="640"/>
      <c r="I95" s="466"/>
      <c r="J95" s="656"/>
      <c r="K95" s="640"/>
      <c r="L95" s="504"/>
      <c r="M95" s="670"/>
      <c r="N95" s="672"/>
    </row>
    <row r="96" spans="1:14" ht="15">
      <c r="A96" s="601"/>
      <c r="B96" s="640"/>
      <c r="C96" s="466"/>
      <c r="D96" s="641"/>
      <c r="E96" s="625"/>
      <c r="F96" s="466"/>
      <c r="G96" s="656"/>
      <c r="H96" s="640"/>
      <c r="I96" s="466"/>
      <c r="J96" s="656"/>
      <c r="K96" s="640"/>
      <c r="L96" s="504"/>
      <c r="M96" s="670"/>
      <c r="N96" s="672"/>
    </row>
    <row r="97" spans="1:14" ht="15">
      <c r="A97" s="600"/>
      <c r="B97" s="638"/>
      <c r="C97" s="514"/>
      <c r="D97" s="639"/>
      <c r="E97" s="624"/>
      <c r="F97" s="514"/>
      <c r="G97" s="655"/>
      <c r="H97" s="638"/>
      <c r="I97" s="514"/>
      <c r="J97" s="655"/>
      <c r="K97" s="638"/>
      <c r="L97" s="504"/>
      <c r="M97" s="670"/>
      <c r="N97" s="672"/>
    </row>
    <row r="98" spans="1:14" ht="15">
      <c r="A98" s="600"/>
      <c r="B98" s="638"/>
      <c r="C98" s="514"/>
      <c r="D98" s="639"/>
      <c r="E98" s="624"/>
      <c r="F98" s="514"/>
      <c r="G98" s="655"/>
      <c r="H98" s="638"/>
      <c r="I98" s="514"/>
      <c r="J98" s="655"/>
      <c r="K98" s="638"/>
      <c r="L98" s="504"/>
      <c r="M98" s="670"/>
      <c r="N98" s="672"/>
    </row>
    <row r="99" spans="1:14" ht="15">
      <c r="A99" s="595"/>
      <c r="B99" s="634"/>
      <c r="C99" s="456"/>
      <c r="D99" s="635"/>
      <c r="E99" s="622"/>
      <c r="F99" s="456"/>
      <c r="G99" s="653"/>
      <c r="H99" s="634"/>
      <c r="I99" s="456"/>
      <c r="J99" s="653"/>
      <c r="K99" s="634"/>
      <c r="L99" s="504"/>
      <c r="M99" s="670"/>
      <c r="N99" s="672"/>
    </row>
    <row r="100" spans="1:14" ht="15">
      <c r="A100" s="595"/>
      <c r="B100" s="634"/>
      <c r="C100" s="456"/>
      <c r="D100" s="635"/>
      <c r="E100" s="622"/>
      <c r="F100" s="456"/>
      <c r="G100" s="653"/>
      <c r="H100" s="634"/>
      <c r="I100" s="456"/>
      <c r="J100" s="653"/>
      <c r="K100" s="634"/>
      <c r="L100" s="504"/>
      <c r="M100" s="670"/>
      <c r="N100" s="672"/>
    </row>
    <row r="101" spans="1:14" ht="15">
      <c r="A101" s="612"/>
      <c r="B101" s="638"/>
      <c r="C101" s="514"/>
      <c r="D101" s="639"/>
      <c r="E101" s="624"/>
      <c r="F101" s="514"/>
      <c r="G101" s="655"/>
      <c r="H101" s="638"/>
      <c r="I101" s="514"/>
      <c r="J101" s="655"/>
      <c r="K101" s="638"/>
      <c r="L101" s="504"/>
      <c r="M101" s="670"/>
      <c r="N101" s="672"/>
    </row>
    <row r="102" spans="1:14" ht="15">
      <c r="A102" s="613"/>
      <c r="B102" s="638"/>
      <c r="C102" s="514"/>
      <c r="D102" s="639"/>
      <c r="E102" s="624"/>
      <c r="F102" s="514"/>
      <c r="G102" s="655"/>
      <c r="H102" s="638"/>
      <c r="I102" s="514"/>
      <c r="J102" s="655"/>
      <c r="K102" s="638"/>
      <c r="L102" s="504"/>
      <c r="M102" s="670"/>
      <c r="N102" s="672"/>
    </row>
    <row r="103" spans="1:14" ht="15">
      <c r="A103" s="597"/>
      <c r="B103" s="634"/>
      <c r="C103" s="456"/>
      <c r="D103" s="635"/>
      <c r="E103" s="622"/>
      <c r="F103" s="456"/>
      <c r="G103" s="653"/>
      <c r="H103" s="634"/>
      <c r="I103" s="456"/>
      <c r="J103" s="653"/>
      <c r="K103" s="634"/>
      <c r="L103" s="504"/>
      <c r="M103" s="670"/>
      <c r="N103" s="672"/>
    </row>
    <row r="104" spans="1:14" ht="15">
      <c r="A104" s="608"/>
      <c r="B104" s="640"/>
      <c r="C104" s="466"/>
      <c r="D104" s="641"/>
      <c r="E104" s="625"/>
      <c r="F104" s="466"/>
      <c r="G104" s="656"/>
      <c r="H104" s="640"/>
      <c r="I104" s="466"/>
      <c r="J104" s="656"/>
      <c r="K104" s="640"/>
      <c r="L104" s="504"/>
      <c r="M104" s="670"/>
      <c r="N104" s="672"/>
    </row>
    <row r="105" spans="1:14" ht="15">
      <c r="A105" s="610"/>
      <c r="B105" s="642"/>
      <c r="C105" s="484"/>
      <c r="D105" s="643"/>
      <c r="E105" s="626"/>
      <c r="F105" s="484"/>
      <c r="G105" s="657"/>
      <c r="H105" s="642"/>
      <c r="I105" s="484"/>
      <c r="J105" s="657"/>
      <c r="K105" s="642"/>
      <c r="L105" s="504"/>
      <c r="M105" s="670"/>
      <c r="N105" s="672"/>
    </row>
    <row r="106" spans="1:14" ht="15">
      <c r="A106" s="597"/>
      <c r="B106" s="634"/>
      <c r="C106" s="456"/>
      <c r="D106" s="635"/>
      <c r="E106" s="622"/>
      <c r="F106" s="456"/>
      <c r="G106" s="653"/>
      <c r="H106" s="634"/>
      <c r="I106" s="456"/>
      <c r="J106" s="653"/>
      <c r="K106" s="634"/>
      <c r="L106" s="504"/>
      <c r="M106" s="670"/>
      <c r="N106" s="672"/>
    </row>
    <row r="107" spans="1:14" ht="15">
      <c r="A107" s="614"/>
      <c r="B107" s="646"/>
      <c r="C107" s="561"/>
      <c r="D107" s="647"/>
      <c r="E107" s="629"/>
      <c r="F107" s="561"/>
      <c r="G107" s="660"/>
      <c r="H107" s="646"/>
      <c r="I107" s="561"/>
      <c r="J107" s="660"/>
      <c r="K107" s="646"/>
      <c r="L107" s="504"/>
      <c r="M107" s="670"/>
      <c r="N107" s="672"/>
    </row>
    <row r="108" spans="1:14" ht="15">
      <c r="A108" s="597"/>
      <c r="B108" s="634"/>
      <c r="C108" s="456"/>
      <c r="D108" s="635"/>
      <c r="E108" s="622"/>
      <c r="F108" s="456"/>
      <c r="G108" s="653"/>
      <c r="H108" s="634"/>
      <c r="I108" s="456"/>
      <c r="J108" s="653"/>
      <c r="K108" s="634"/>
      <c r="L108" s="504"/>
      <c r="M108" s="670"/>
      <c r="N108" s="672"/>
    </row>
    <row r="109" spans="1:14" ht="15">
      <c r="A109" s="615"/>
      <c r="B109" s="646"/>
      <c r="C109" s="561"/>
      <c r="D109" s="647"/>
      <c r="E109" s="629"/>
      <c r="F109" s="561"/>
      <c r="G109" s="660"/>
      <c r="H109" s="646"/>
      <c r="I109" s="561"/>
      <c r="J109" s="660"/>
      <c r="K109" s="646"/>
      <c r="L109" s="504"/>
      <c r="M109" s="670"/>
      <c r="N109" s="672"/>
    </row>
    <row r="110" spans="1:14" ht="15">
      <c r="A110" s="601"/>
      <c r="B110" s="640"/>
      <c r="C110" s="466"/>
      <c r="D110" s="641"/>
      <c r="E110" s="625"/>
      <c r="F110" s="466"/>
      <c r="G110" s="656"/>
      <c r="H110" s="640"/>
      <c r="I110" s="466"/>
      <c r="J110" s="656"/>
      <c r="K110" s="640"/>
      <c r="L110" s="504"/>
      <c r="M110" s="670"/>
      <c r="N110" s="672"/>
    </row>
    <row r="111" spans="1:14" ht="15">
      <c r="A111" s="610"/>
      <c r="B111" s="642"/>
      <c r="C111" s="484"/>
      <c r="D111" s="643"/>
      <c r="E111" s="626"/>
      <c r="F111" s="484"/>
      <c r="G111" s="657"/>
      <c r="H111" s="642"/>
      <c r="I111" s="484"/>
      <c r="J111" s="657"/>
      <c r="K111" s="642"/>
      <c r="L111" s="504"/>
      <c r="M111" s="670"/>
      <c r="N111" s="672"/>
    </row>
    <row r="112" spans="1:14" ht="15">
      <c r="A112" s="597"/>
      <c r="B112" s="634"/>
      <c r="C112" s="456"/>
      <c r="D112" s="635"/>
      <c r="E112" s="622"/>
      <c r="F112" s="456"/>
      <c r="G112" s="653"/>
      <c r="H112" s="634"/>
      <c r="I112" s="456"/>
      <c r="J112" s="653"/>
      <c r="K112" s="634"/>
      <c r="L112" s="504"/>
      <c r="M112" s="670"/>
      <c r="N112" s="672"/>
    </row>
    <row r="113" spans="1:14" ht="15">
      <c r="A113" s="616"/>
      <c r="B113" s="638"/>
      <c r="C113" s="514"/>
      <c r="D113" s="639"/>
      <c r="E113" s="624"/>
      <c r="F113" s="514"/>
      <c r="G113" s="655"/>
      <c r="H113" s="638"/>
      <c r="I113" s="514"/>
      <c r="J113" s="655"/>
      <c r="K113" s="638"/>
      <c r="L113" s="504"/>
      <c r="M113" s="670"/>
      <c r="N113" s="672"/>
    </row>
    <row r="114" spans="1:14" ht="15">
      <c r="A114" s="595"/>
      <c r="B114" s="634"/>
      <c r="C114" s="456"/>
      <c r="D114" s="635"/>
      <c r="E114" s="622"/>
      <c r="F114" s="456"/>
      <c r="G114" s="653"/>
      <c r="H114" s="634"/>
      <c r="I114" s="456"/>
      <c r="J114" s="653"/>
      <c r="K114" s="634"/>
      <c r="L114" s="504"/>
      <c r="M114" s="670"/>
      <c r="N114" s="672"/>
    </row>
    <row r="115" spans="1:14" ht="15">
      <c r="A115" s="597"/>
      <c r="B115" s="634"/>
      <c r="C115" s="456"/>
      <c r="D115" s="635"/>
      <c r="E115" s="622"/>
      <c r="F115" s="456"/>
      <c r="G115" s="653"/>
      <c r="H115" s="634"/>
      <c r="I115" s="456"/>
      <c r="J115" s="653"/>
      <c r="K115" s="634"/>
      <c r="L115" s="504"/>
      <c r="M115" s="670"/>
      <c r="N115" s="672"/>
    </row>
    <row r="116" spans="1:14" ht="15">
      <c r="A116" s="597"/>
      <c r="B116" s="634"/>
      <c r="C116" s="456"/>
      <c r="D116" s="635"/>
      <c r="E116" s="622"/>
      <c r="F116" s="456"/>
      <c r="G116" s="653"/>
      <c r="H116" s="634"/>
      <c r="I116" s="456"/>
      <c r="J116" s="653"/>
      <c r="K116" s="634"/>
      <c r="L116" s="504"/>
      <c r="M116" s="670"/>
      <c r="N116" s="672"/>
    </row>
    <row r="117" spans="1:14" ht="15">
      <c r="A117" s="610"/>
      <c r="B117" s="634"/>
      <c r="C117" s="456"/>
      <c r="D117" s="635"/>
      <c r="E117" s="622"/>
      <c r="F117" s="456"/>
      <c r="G117" s="653"/>
      <c r="H117" s="634"/>
      <c r="I117" s="456"/>
      <c r="J117" s="653"/>
      <c r="K117" s="634"/>
      <c r="L117" s="504"/>
      <c r="M117" s="670"/>
      <c r="N117" s="672"/>
    </row>
    <row r="118" spans="1:14" ht="15">
      <c r="A118" s="617"/>
      <c r="B118" s="638"/>
      <c r="C118" s="514"/>
      <c r="D118" s="639"/>
      <c r="E118" s="624"/>
      <c r="F118" s="514"/>
      <c r="G118" s="655"/>
      <c r="H118" s="638"/>
      <c r="I118" s="514"/>
      <c r="J118" s="655"/>
      <c r="K118" s="638"/>
      <c r="L118" s="504"/>
      <c r="M118" s="670"/>
      <c r="N118" s="672"/>
    </row>
    <row r="119" spans="1:14" ht="15">
      <c r="A119" s="600"/>
      <c r="B119" s="638"/>
      <c r="C119" s="514"/>
      <c r="D119" s="639"/>
      <c r="E119" s="624"/>
      <c r="F119" s="514"/>
      <c r="G119" s="655"/>
      <c r="H119" s="638"/>
      <c r="I119" s="514"/>
      <c r="J119" s="655"/>
      <c r="K119" s="638"/>
      <c r="L119" s="504"/>
      <c r="M119" s="670"/>
      <c r="N119" s="672"/>
    </row>
    <row r="120" spans="1:14" ht="15">
      <c r="A120" s="599"/>
      <c r="B120" s="638"/>
      <c r="C120" s="514"/>
      <c r="D120" s="639"/>
      <c r="E120" s="624"/>
      <c r="F120" s="514"/>
      <c r="G120" s="655"/>
      <c r="H120" s="638"/>
      <c r="I120" s="514"/>
      <c r="J120" s="655"/>
      <c r="K120" s="638"/>
      <c r="L120" s="504"/>
      <c r="M120" s="670"/>
      <c r="N120" s="672"/>
    </row>
    <row r="121" spans="1:14" ht="15">
      <c r="A121" s="618"/>
      <c r="B121" s="638"/>
      <c r="C121" s="514"/>
      <c r="D121" s="639"/>
      <c r="E121" s="624"/>
      <c r="F121" s="514"/>
      <c r="G121" s="655"/>
      <c r="H121" s="638"/>
      <c r="I121" s="514"/>
      <c r="J121" s="655"/>
      <c r="K121" s="638"/>
      <c r="L121" s="504"/>
      <c r="M121" s="670"/>
      <c r="N121" s="672"/>
    </row>
    <row r="122" spans="1:14" ht="15">
      <c r="A122" s="595"/>
      <c r="B122" s="634"/>
      <c r="C122" s="456"/>
      <c r="D122" s="635"/>
      <c r="E122" s="622"/>
      <c r="F122" s="456"/>
      <c r="G122" s="653"/>
      <c r="H122" s="634"/>
      <c r="I122" s="456"/>
      <c r="J122" s="653"/>
      <c r="K122" s="634"/>
      <c r="L122" s="504"/>
      <c r="M122" s="670"/>
      <c r="N122" s="672"/>
    </row>
    <row r="123" spans="1:14" ht="15">
      <c r="A123" s="595"/>
      <c r="B123" s="634"/>
      <c r="C123" s="456"/>
      <c r="D123" s="635"/>
      <c r="E123" s="622"/>
      <c r="F123" s="456"/>
      <c r="G123" s="653"/>
      <c r="H123" s="634"/>
      <c r="I123" s="456"/>
      <c r="J123" s="653"/>
      <c r="K123" s="634"/>
      <c r="L123" s="504"/>
      <c r="M123" s="670"/>
      <c r="N123" s="672"/>
    </row>
    <row r="124" spans="1:14" ht="15">
      <c r="A124" s="617"/>
      <c r="B124" s="638"/>
      <c r="C124" s="514"/>
      <c r="D124" s="639"/>
      <c r="E124" s="624"/>
      <c r="F124" s="514"/>
      <c r="G124" s="655"/>
      <c r="H124" s="638"/>
      <c r="I124" s="514"/>
      <c r="J124" s="655"/>
      <c r="K124" s="638"/>
      <c r="L124" s="504"/>
      <c r="M124" s="670"/>
      <c r="N124" s="672"/>
    </row>
    <row r="125" spans="1:14" ht="15">
      <c r="A125" s="597"/>
      <c r="B125" s="634"/>
      <c r="C125" s="456"/>
      <c r="D125" s="635"/>
      <c r="E125" s="622"/>
      <c r="F125" s="456"/>
      <c r="G125" s="653"/>
      <c r="H125" s="634"/>
      <c r="I125" s="456"/>
      <c r="J125" s="653"/>
      <c r="K125" s="634"/>
      <c r="L125" s="504"/>
      <c r="M125" s="670"/>
      <c r="N125" s="672"/>
    </row>
    <row r="126" spans="1:14" ht="15">
      <c r="A126" s="597"/>
      <c r="B126" s="634"/>
      <c r="C126" s="456"/>
      <c r="D126" s="635"/>
      <c r="E126" s="622"/>
      <c r="F126" s="456"/>
      <c r="G126" s="653"/>
      <c r="H126" s="634"/>
      <c r="I126" s="456"/>
      <c r="J126" s="653"/>
      <c r="K126" s="634"/>
      <c r="L126" s="504"/>
      <c r="M126" s="670"/>
      <c r="N126" s="672"/>
    </row>
    <row r="127" spans="1:14" ht="15">
      <c r="A127" s="596"/>
      <c r="B127" s="634"/>
      <c r="C127" s="456"/>
      <c r="D127" s="635"/>
      <c r="E127" s="622"/>
      <c r="F127" s="456"/>
      <c r="G127" s="653"/>
      <c r="H127" s="634"/>
      <c r="I127" s="456"/>
      <c r="J127" s="653"/>
      <c r="K127" s="634"/>
      <c r="L127" s="504"/>
      <c r="M127" s="670"/>
      <c r="N127" s="672"/>
    </row>
    <row r="128" spans="1:14" ht="15">
      <c r="A128" s="619"/>
      <c r="B128" s="648"/>
      <c r="C128" s="494"/>
      <c r="D128" s="649"/>
      <c r="E128" s="630"/>
      <c r="F128" s="494"/>
      <c r="G128" s="661"/>
      <c r="H128" s="648"/>
      <c r="I128" s="494"/>
      <c r="J128" s="661"/>
      <c r="K128" s="648"/>
      <c r="L128" s="504"/>
      <c r="M128" s="670"/>
      <c r="N128" s="672"/>
    </row>
    <row r="129" spans="1:14" ht="15">
      <c r="A129" s="595"/>
      <c r="B129" s="634"/>
      <c r="C129" s="456"/>
      <c r="D129" s="635"/>
      <c r="E129" s="622"/>
      <c r="F129" s="456"/>
      <c r="G129" s="653"/>
      <c r="H129" s="634"/>
      <c r="I129" s="456"/>
      <c r="J129" s="653"/>
      <c r="K129" s="634"/>
      <c r="L129" s="504"/>
      <c r="M129" s="670"/>
      <c r="N129" s="672"/>
    </row>
    <row r="130" spans="1:14" ht="15">
      <c r="A130" s="599"/>
      <c r="B130" s="638"/>
      <c r="C130" s="514"/>
      <c r="D130" s="639"/>
      <c r="E130" s="624"/>
      <c r="F130" s="514"/>
      <c r="G130" s="655"/>
      <c r="H130" s="638"/>
      <c r="I130" s="514"/>
      <c r="J130" s="655"/>
      <c r="K130" s="638"/>
      <c r="L130" s="504"/>
      <c r="M130" s="670"/>
      <c r="N130" s="672"/>
    </row>
    <row r="131" spans="1:14" ht="15">
      <c r="A131" s="618"/>
      <c r="B131" s="638"/>
      <c r="C131" s="514"/>
      <c r="D131" s="639"/>
      <c r="E131" s="624"/>
      <c r="F131" s="514"/>
      <c r="G131" s="655"/>
      <c r="H131" s="638"/>
      <c r="I131" s="514"/>
      <c r="J131" s="655"/>
      <c r="K131" s="638"/>
      <c r="L131" s="504"/>
      <c r="M131" s="670"/>
      <c r="N131" s="672"/>
    </row>
    <row r="132" spans="1:14" ht="15">
      <c r="A132" s="605"/>
      <c r="B132" s="642"/>
      <c r="C132" s="484"/>
      <c r="D132" s="643"/>
      <c r="E132" s="626"/>
      <c r="F132" s="484"/>
      <c r="G132" s="657"/>
      <c r="H132" s="642"/>
      <c r="I132" s="484"/>
      <c r="J132" s="657"/>
      <c r="K132" s="642"/>
      <c r="L132" s="504"/>
      <c r="M132" s="670"/>
      <c r="N132" s="672"/>
    </row>
    <row r="133" spans="1:14" ht="15">
      <c r="A133" s="599"/>
      <c r="B133" s="638"/>
      <c r="C133" s="514"/>
      <c r="D133" s="639"/>
      <c r="E133" s="624"/>
      <c r="F133" s="514"/>
      <c r="G133" s="655"/>
      <c r="H133" s="638"/>
      <c r="I133" s="514"/>
      <c r="J133" s="655"/>
      <c r="K133" s="638"/>
      <c r="L133" s="504"/>
      <c r="M133" s="670"/>
      <c r="N133" s="672"/>
    </row>
    <row r="134" spans="1:14" ht="15">
      <c r="A134" s="600"/>
      <c r="B134" s="638"/>
      <c r="C134" s="514"/>
      <c r="D134" s="639"/>
      <c r="E134" s="624"/>
      <c r="F134" s="514"/>
      <c r="G134" s="655"/>
      <c r="H134" s="638"/>
      <c r="I134" s="514"/>
      <c r="J134" s="655"/>
      <c r="K134" s="638"/>
      <c r="L134" s="504"/>
      <c r="M134" s="670"/>
      <c r="N134" s="672"/>
    </row>
    <row r="135" spans="1:14" ht="15">
      <c r="A135" s="597"/>
      <c r="B135" s="634"/>
      <c r="C135" s="456"/>
      <c r="D135" s="635"/>
      <c r="E135" s="622"/>
      <c r="F135" s="456"/>
      <c r="G135" s="653"/>
      <c r="H135" s="634"/>
      <c r="I135" s="456"/>
      <c r="J135" s="653"/>
      <c r="K135" s="634"/>
      <c r="L135" s="504"/>
      <c r="M135" s="670"/>
      <c r="N135" s="672"/>
    </row>
    <row r="136" spans="1:14" ht="15">
      <c r="A136" s="595"/>
      <c r="B136" s="634"/>
      <c r="C136" s="456"/>
      <c r="D136" s="635"/>
      <c r="E136" s="622"/>
      <c r="F136" s="456"/>
      <c r="G136" s="653"/>
      <c r="H136" s="634"/>
      <c r="I136" s="456"/>
      <c r="J136" s="653"/>
      <c r="K136" s="634"/>
      <c r="L136" s="504"/>
      <c r="M136" s="670"/>
      <c r="N136" s="672"/>
    </row>
    <row r="137" spans="1:14" ht="15">
      <c r="A137" s="614"/>
      <c r="B137" s="646"/>
      <c r="C137" s="561"/>
      <c r="D137" s="647"/>
      <c r="E137" s="629"/>
      <c r="F137" s="561"/>
      <c r="G137" s="660"/>
      <c r="H137" s="646"/>
      <c r="I137" s="561"/>
      <c r="J137" s="660"/>
      <c r="K137" s="646"/>
      <c r="L137" s="504"/>
      <c r="M137" s="670"/>
      <c r="N137" s="672"/>
    </row>
    <row r="138" spans="1:14" ht="15">
      <c r="A138" s="597"/>
      <c r="B138" s="634"/>
      <c r="C138" s="456"/>
      <c r="D138" s="635"/>
      <c r="E138" s="622"/>
      <c r="F138" s="456"/>
      <c r="G138" s="653"/>
      <c r="H138" s="634"/>
      <c r="I138" s="456"/>
      <c r="J138" s="653"/>
      <c r="K138" s="634"/>
      <c r="L138" s="504"/>
      <c r="M138" s="670"/>
      <c r="N138" s="672"/>
    </row>
    <row r="139" spans="1:14" ht="15">
      <c r="A139" s="596"/>
      <c r="B139" s="634"/>
      <c r="C139" s="456"/>
      <c r="D139" s="635"/>
      <c r="E139" s="622"/>
      <c r="F139" s="456"/>
      <c r="G139" s="653"/>
      <c r="H139" s="634"/>
      <c r="I139" s="456"/>
      <c r="J139" s="653"/>
      <c r="K139" s="634"/>
      <c r="L139" s="504"/>
      <c r="M139" s="670"/>
      <c r="N139" s="672"/>
    </row>
    <row r="140" spans="1:14" ht="15">
      <c r="A140" s="620"/>
      <c r="B140" s="634"/>
      <c r="C140" s="456"/>
      <c r="D140" s="635"/>
      <c r="E140" s="622"/>
      <c r="F140" s="456"/>
      <c r="G140" s="653"/>
      <c r="H140" s="634"/>
      <c r="I140" s="456"/>
      <c r="J140" s="653"/>
      <c r="K140" s="634"/>
      <c r="L140" s="504"/>
      <c r="M140" s="670"/>
      <c r="N140" s="672"/>
    </row>
    <row r="141" spans="1:14" ht="15.75" thickBot="1">
      <c r="A141" s="621"/>
      <c r="B141" s="650"/>
      <c r="C141" s="651"/>
      <c r="D141" s="652"/>
      <c r="E141" s="631"/>
      <c r="F141" s="523"/>
      <c r="G141" s="662"/>
      <c r="H141" s="650"/>
      <c r="I141" s="651"/>
      <c r="J141" s="665"/>
      <c r="K141" s="650"/>
      <c r="L141" s="668"/>
      <c r="M141" s="671"/>
      <c r="N141" s="673"/>
    </row>
    <row r="142" spans="1:11" ht="15">
      <c r="A142" s="505"/>
      <c r="B142" s="508"/>
      <c r="C142" s="508"/>
      <c r="D142" s="508"/>
      <c r="E142" s="508"/>
      <c r="F142" s="508"/>
      <c r="G142" s="508"/>
      <c r="H142" s="508"/>
      <c r="I142" s="508"/>
      <c r="J142" s="508"/>
      <c r="K142" s="510"/>
    </row>
    <row r="143" spans="1:11" ht="15">
      <c r="A143" s="481"/>
      <c r="B143" s="566"/>
      <c r="C143" s="566"/>
      <c r="D143" s="566"/>
      <c r="E143" s="566"/>
      <c r="F143" s="566"/>
      <c r="G143" s="566"/>
      <c r="H143" s="566"/>
      <c r="I143" s="566"/>
      <c r="J143" s="566"/>
      <c r="K143" s="566"/>
    </row>
  </sheetData>
  <sheetProtection/>
  <mergeCells count="5">
    <mergeCell ref="N1:N2"/>
    <mergeCell ref="B1:D1"/>
    <mergeCell ref="E1:G1"/>
    <mergeCell ref="H1:J1"/>
    <mergeCell ref="K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2014-12-20T10:03:14Z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