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6468" windowWidth="19176" windowHeight="6396" tabRatio="968" activeTab="1"/>
  </bookViews>
  <sheets>
    <sheet name="Отчет 3 кв" sheetId="1" r:id="rId1"/>
    <sheet name="Задолженность 3 кв" sheetId="2" r:id="rId2"/>
  </sheets>
  <definedNames/>
  <calcPr fullCalcOnLoad="1"/>
</workbook>
</file>

<file path=xl/sharedStrings.xml><?xml version="1.0" encoding="utf-8"?>
<sst xmlns="http://schemas.openxmlformats.org/spreadsheetml/2006/main" count="370" uniqueCount="214">
  <si>
    <t>Дебет</t>
  </si>
  <si>
    <t>Кредит</t>
  </si>
  <si>
    <t xml:space="preserve"> </t>
  </si>
  <si>
    <t>ЕвроБетон</t>
  </si>
  <si>
    <t>КапиталСтрой</t>
  </si>
  <si>
    <t>Кулонстрой</t>
  </si>
  <si>
    <t>Промстройматериалы</t>
  </si>
  <si>
    <t>Итого развернутое</t>
  </si>
  <si>
    <t>Покупатели</t>
  </si>
  <si>
    <t>Кол-во цемента,т.</t>
  </si>
  <si>
    <t>Цена за т.</t>
  </si>
  <si>
    <t>Реализация</t>
  </si>
  <si>
    <t>НДС</t>
  </si>
  <si>
    <t>Реализация без НДС</t>
  </si>
  <si>
    <t>Себестоимость</t>
  </si>
  <si>
    <t>Выручка</t>
  </si>
  <si>
    <t>Трио Компани</t>
  </si>
  <si>
    <t>Итого</t>
  </si>
  <si>
    <t>Поставщики</t>
  </si>
  <si>
    <t>Заработная плата</t>
  </si>
  <si>
    <t>Налоги с ФОТ</t>
  </si>
  <si>
    <t>Остаток цемента на складе</t>
  </si>
  <si>
    <t>поставщики</t>
  </si>
  <si>
    <t>Аренда а/м</t>
  </si>
  <si>
    <t>аренда офиса</t>
  </si>
  <si>
    <t>Заправка картриджа</t>
  </si>
  <si>
    <t>ИТС на 6мес</t>
  </si>
  <si>
    <t>Налог на имущество</t>
  </si>
  <si>
    <t>Канцтовары</t>
  </si>
  <si>
    <t>Командировочные расходы</t>
  </si>
  <si>
    <t>Настройка 1С</t>
  </si>
  <si>
    <t>Почтовые расходы</t>
  </si>
  <si>
    <t>Реклама</t>
  </si>
  <si>
    <t>Ремонт факса</t>
  </si>
  <si>
    <t>ТаксНет</t>
  </si>
  <si>
    <t>Т/о а/м Мурано</t>
  </si>
  <si>
    <t>Транспортные расходы</t>
  </si>
  <si>
    <t>Транспортный налог</t>
  </si>
  <si>
    <t>Услуги по приемке-хранению цемента</t>
  </si>
  <si>
    <t>Услуги связи Билайн</t>
  </si>
  <si>
    <t>Услуги связи МТС</t>
  </si>
  <si>
    <t>Услуги связи и интернет</t>
  </si>
  <si>
    <t>Вода</t>
  </si>
  <si>
    <t>Проценты по кредиту/овердрафту</t>
  </si>
  <si>
    <t>Услуги банка</t>
  </si>
  <si>
    <t>% на остаток по р/с</t>
  </si>
  <si>
    <t>Представит.расходы</t>
  </si>
  <si>
    <t>ИТОГО РАСХОДОВ:</t>
  </si>
  <si>
    <t>Прибыль</t>
  </si>
  <si>
    <t>Налог на Прибыль 20%</t>
  </si>
  <si>
    <t>Прибыль после налогообложения</t>
  </si>
  <si>
    <t>пени</t>
  </si>
  <si>
    <t>Расходы за счет Прибыли</t>
  </si>
  <si>
    <t>Итого Чистая Прибыль</t>
  </si>
  <si>
    <t>НДФЛ 9%</t>
  </si>
  <si>
    <t>Дивиденды к получению</t>
  </si>
  <si>
    <t>Всего с НДС, руб.</t>
  </si>
  <si>
    <t>Покупатель</t>
  </si>
  <si>
    <t>Количество</t>
  </si>
  <si>
    <t>Цена продажи</t>
  </si>
  <si>
    <t>Цена закупки</t>
  </si>
  <si>
    <t>Наценка за 1 тонну</t>
  </si>
  <si>
    <t>Долг покупателя</t>
  </si>
  <si>
    <t>Наш долг</t>
  </si>
  <si>
    <t>Переплата</t>
  </si>
  <si>
    <t>МТС</t>
  </si>
  <si>
    <t>Лесная Гавань</t>
  </si>
  <si>
    <t>Прочие дебиторы и кредиторы</t>
  </si>
  <si>
    <t>Имущество</t>
  </si>
  <si>
    <t>Подотчет</t>
  </si>
  <si>
    <t>Займ</t>
  </si>
  <si>
    <t>Свободные ДС</t>
  </si>
  <si>
    <t>Тайд-Фойл</t>
  </si>
  <si>
    <t xml:space="preserve">Изменение </t>
  </si>
  <si>
    <t xml:space="preserve">Товар на складе </t>
  </si>
  <si>
    <t xml:space="preserve">Остаток на расчетном счете </t>
  </si>
  <si>
    <t>Амортизация и РБП</t>
  </si>
  <si>
    <t>Орион</t>
  </si>
  <si>
    <t>Сириус</t>
  </si>
  <si>
    <t>Сакура</t>
  </si>
  <si>
    <t>АртСтрой</t>
  </si>
  <si>
    <t>РиСД</t>
  </si>
  <si>
    <t>на 30 июня, т.</t>
  </si>
  <si>
    <t>1 июля 2012</t>
  </si>
  <si>
    <t>на 30 июня, руб.</t>
  </si>
  <si>
    <t>Камский Бетон</t>
  </si>
  <si>
    <t>МегаСтрой</t>
  </si>
  <si>
    <t>БизнесСтрой</t>
  </si>
  <si>
    <t>Итого транспортные</t>
  </si>
  <si>
    <t>1 октября 2012</t>
  </si>
  <si>
    <t>на 30 сентября, т.</t>
  </si>
  <si>
    <t>на 30 сентября, руб.</t>
  </si>
  <si>
    <t>Камская речная компания</t>
  </si>
  <si>
    <t>Списание 1т. цемента</t>
  </si>
  <si>
    <t>НДФЛ</t>
  </si>
  <si>
    <t>ОТЧЕТ 3 квартал 2012</t>
  </si>
  <si>
    <t>Поступление за 3 квартал 2012 г.</t>
  </si>
  <si>
    <t>Реализация за 3 квартал 2012 г.</t>
  </si>
  <si>
    <t>Расходы за 3 квартал 2012 г.</t>
  </si>
  <si>
    <t>Реализация от поступлений ЦЕММАРКЕТА за 3 квартал 2012 г.(все данные без НДС)</t>
  </si>
  <si>
    <t>Состояние задолженности за 3 квартал</t>
  </si>
  <si>
    <t>ЕВРОЦЕМЕНТ групп</t>
  </si>
  <si>
    <t>ЦЕМсервис</t>
  </si>
  <si>
    <t>Ардо</t>
  </si>
  <si>
    <t>ЗСК Булгар</t>
  </si>
  <si>
    <t>ИП Газизуллин Х.А.</t>
  </si>
  <si>
    <t xml:space="preserve">ИП Гараева </t>
  </si>
  <si>
    <t>ИП Гильманов Р.И.</t>
  </si>
  <si>
    <t>ИП Ибатуллин А.Р.</t>
  </si>
  <si>
    <t>ИП Мотигуллин Б.Ф.</t>
  </si>
  <si>
    <t>ИП Рахимуллин К.Х.</t>
  </si>
  <si>
    <t>Казанский ЖБИ</t>
  </si>
  <si>
    <t>КАЗДОРСТРОЙ</t>
  </si>
  <si>
    <t>КЕМНА</t>
  </si>
  <si>
    <t>Конвент</t>
  </si>
  <si>
    <t>МамадышСтрой</t>
  </si>
  <si>
    <t>Маяк ПТК</t>
  </si>
  <si>
    <t>М-групп ТК</t>
  </si>
  <si>
    <t>ПМК 90</t>
  </si>
  <si>
    <t>Пром-Комфорт</t>
  </si>
  <si>
    <t>РемСтройКомплект</t>
  </si>
  <si>
    <t>Союз</t>
  </si>
  <si>
    <t>СтройКомплект</t>
  </si>
  <si>
    <t>Строймаркет</t>
  </si>
  <si>
    <t>Стройсервис</t>
  </si>
  <si>
    <t>ТимерБетон</t>
  </si>
  <si>
    <t>Трастбетон</t>
  </si>
  <si>
    <t>Фон-Строй</t>
  </si>
  <si>
    <t>Склад Булгар</t>
  </si>
  <si>
    <t>Склад Монолит</t>
  </si>
  <si>
    <t>Транспортные  НЦК</t>
  </si>
  <si>
    <t>Транспортные Камдорстрой</t>
  </si>
  <si>
    <t>Перевалка  Камдорстрой</t>
  </si>
  <si>
    <t>Транспортные ЗСК Булгар</t>
  </si>
  <si>
    <t>Транспортные Камдорстрой АВИА</t>
  </si>
  <si>
    <t>Перевалка Камдорстрой АВИА</t>
  </si>
  <si>
    <t>ТранспортныеЦЕМсервис</t>
  </si>
  <si>
    <t>Страховка МАН</t>
  </si>
  <si>
    <t>Страховка прицепы</t>
  </si>
  <si>
    <t>Страховка Nissan</t>
  </si>
  <si>
    <t>Парковка МАН</t>
  </si>
  <si>
    <t>ТОПЛИВО</t>
  </si>
  <si>
    <t>Программа Консультант</t>
  </si>
  <si>
    <t>Расходы офиса</t>
  </si>
  <si>
    <t>Амортизация МАН</t>
  </si>
  <si>
    <t>Амортизация прицепы</t>
  </si>
  <si>
    <t>Амортизация компрессор</t>
  </si>
  <si>
    <t>Амортизация блок</t>
  </si>
  <si>
    <t>Амортизация грузовой тягач</t>
  </si>
  <si>
    <t>Содержание МАН</t>
  </si>
  <si>
    <t>Содержание арендованного а/м</t>
  </si>
  <si>
    <t>Отправка отчетов</t>
  </si>
  <si>
    <t>Ардо ООО</t>
  </si>
  <si>
    <t>АртСтрой ООО</t>
  </si>
  <si>
    <t>БизнесСтрой ООО</t>
  </si>
  <si>
    <t>ЕвроБетон"ООО</t>
  </si>
  <si>
    <t>ЗСК Булгар"ООО</t>
  </si>
  <si>
    <t>ИП Гильманов Рустем Ильшатович</t>
  </si>
  <si>
    <t>ИП Мотигуллин Б. Ф.</t>
  </si>
  <si>
    <t>ИП Рахимуллин К. Х.</t>
  </si>
  <si>
    <t>КАЗДОРСТРОЙ ОАО</t>
  </si>
  <si>
    <t>КЕМНА ООО</t>
  </si>
  <si>
    <t>Конвент ООО</t>
  </si>
  <si>
    <t>Лесная гавань"ООО</t>
  </si>
  <si>
    <t>Мамадышстрой ЗАО</t>
  </si>
  <si>
    <t>Маяк ПТК ООО</t>
  </si>
  <si>
    <t>М-групп торговая компания ООО</t>
  </si>
  <si>
    <t>МегаСтрой ООО</t>
  </si>
  <si>
    <t>НЦК ООО</t>
  </si>
  <si>
    <t>ПМК 90 ООО /нов/</t>
  </si>
  <si>
    <t>Ресурс-Металл"ООО</t>
  </si>
  <si>
    <t>Сириус ООО</t>
  </si>
  <si>
    <t>Союз ООО</t>
  </si>
  <si>
    <t>Стройкомплект ООО</t>
  </si>
  <si>
    <t>Строймаркет"ООО</t>
  </si>
  <si>
    <t>Стройсервис ООО</t>
  </si>
  <si>
    <t>Тайд- фойл фирма ООО</t>
  </si>
  <si>
    <t>Тимер Бетон"ООО</t>
  </si>
  <si>
    <t>Трастбетон Казань"ООО</t>
  </si>
  <si>
    <t>Трастбетон"ООО</t>
  </si>
  <si>
    <t>ФОН-СТРОЙ ООО</t>
  </si>
  <si>
    <t>ЦЕМсервис"ООО</t>
  </si>
  <si>
    <t>Ваш Консультант</t>
  </si>
  <si>
    <t>Волговятстройкомплект ТД ООО</t>
  </si>
  <si>
    <t>ВЭБ-лизинг ОАО</t>
  </si>
  <si>
    <t>ЕвразМеталлУрал</t>
  </si>
  <si>
    <t>ЕВРОЦЕМЕНТ груп</t>
  </si>
  <si>
    <t>ЕВРОЦЕМЕНТ трейд ЗАО</t>
  </si>
  <si>
    <t>ИП Бриштель Оксана</t>
  </si>
  <si>
    <t>Казань-Шинторг"ООО</t>
  </si>
  <si>
    <t>Метро Кэш энд Керри"ООО</t>
  </si>
  <si>
    <t>Перспектива ЗАО</t>
  </si>
  <si>
    <t>СтройСтан-Трейд"ООО</t>
  </si>
  <si>
    <t>Фирма"Оптима"ООО</t>
  </si>
  <si>
    <t>Юлмарт ЗАО</t>
  </si>
  <si>
    <t>Юмикс"ООО</t>
  </si>
  <si>
    <t>Камдорстрой АВИА</t>
  </si>
  <si>
    <t>АлькорГрупп УК</t>
  </si>
  <si>
    <t>АльфаСтрахование</t>
  </si>
  <si>
    <t>Бизнес-центр</t>
  </si>
  <si>
    <t>ПСК Казань</t>
  </si>
  <si>
    <t>ПРОМ-Комфорт</t>
  </si>
  <si>
    <t>РЕСО-Гарантия</t>
  </si>
  <si>
    <t>Сервейинговая компания</t>
  </si>
  <si>
    <t>СК Согласие</t>
  </si>
  <si>
    <t>Телесет</t>
  </si>
  <si>
    <t>Тракт-Центр</t>
  </si>
  <si>
    <t>ЦемТрейд Москва</t>
  </si>
  <si>
    <t>Учредители</t>
  </si>
  <si>
    <t>Банк банк</t>
  </si>
  <si>
    <t>Займ сотруднику</t>
  </si>
  <si>
    <t>Материалы</t>
  </si>
  <si>
    <t>Дивиденды</t>
  </si>
  <si>
    <t>прибыль за 3 квартал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</si>
</sst>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\-#,##0.00"/>
    <numFmt numFmtId="181" formatCode="0.00;[Red]\-0.00"/>
    <numFmt numFmtId="182" formatCode="0;[Red]\-0"/>
    <numFmt numFmtId="183" formatCode="#,##0.000000000000"/>
    <numFmt numFmtId="184" formatCode="#,##0.000000000"/>
    <numFmt numFmtId="185" formatCode="#,##0.0"/>
    <numFmt numFmtId="186" formatCode="#,##0.00_ ;[Red]\-#,##0.00\ "/>
    <numFmt numFmtId="187" formatCode="#,##0.0000000000000000000000"/>
    <numFmt numFmtId="188" formatCode="#,##0.000000000000000000000000000000"/>
    <numFmt numFmtId="189" formatCode="#,##0.000"/>
    <numFmt numFmtId="190" formatCode="mmm/yyyy"/>
  </numFmts>
  <fonts count="4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0" fillId="0" borderId="0">
      <alignment/>
      <protection/>
    </xf>
    <xf numFmtId="0" fontId="8" fillId="0" borderId="0">
      <alignment/>
      <protection/>
    </xf>
    <xf numFmtId="0" fontId="1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4" fillId="0" borderId="10" xfId="0" applyFont="1" applyBorder="1" applyAlignment="1">
      <alignment wrapText="1"/>
    </xf>
    <xf numFmtId="4" fontId="4" fillId="0" borderId="11" xfId="0" applyNumberFormat="1" applyFont="1" applyBorder="1" applyAlignment="1">
      <alignment horizontal="right" vertical="top"/>
    </xf>
    <xf numFmtId="4" fontId="4" fillId="0" borderId="12" xfId="0" applyNumberFormat="1" applyFont="1" applyBorder="1" applyAlignment="1">
      <alignment horizontal="center" vertical="top"/>
    </xf>
    <xf numFmtId="0" fontId="5" fillId="32" borderId="13" xfId="0" applyFont="1" applyFill="1" applyBorder="1" applyAlignment="1">
      <alignment wrapText="1"/>
    </xf>
    <xf numFmtId="4" fontId="5" fillId="32" borderId="14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4" fillId="32" borderId="13" xfId="0" applyFont="1" applyFill="1" applyBorder="1" applyAlignment="1">
      <alignment wrapText="1"/>
    </xf>
    <xf numFmtId="4" fontId="4" fillId="32" borderId="15" xfId="0" applyNumberFormat="1" applyFont="1" applyFill="1" applyBorder="1" applyAlignment="1">
      <alignment horizontal="center" vertical="top"/>
    </xf>
    <xf numFmtId="4" fontId="0" fillId="0" borderId="16" xfId="0" applyNumberFormat="1" applyFill="1" applyBorder="1" applyAlignment="1">
      <alignment/>
    </xf>
    <xf numFmtId="0" fontId="6" fillId="0" borderId="0" xfId="0" applyFont="1" applyAlignment="1">
      <alignment horizontal="centerContinuous"/>
    </xf>
    <xf numFmtId="0" fontId="0" fillId="0" borderId="17" xfId="0" applyFill="1" applyBorder="1" applyAlignment="1">
      <alignment/>
    </xf>
    <xf numFmtId="4" fontId="8" fillId="0" borderId="18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32" borderId="20" xfId="0" applyFont="1" applyFill="1" applyBorder="1" applyAlignment="1">
      <alignment/>
    </xf>
    <xf numFmtId="4" fontId="0" fillId="32" borderId="21" xfId="0" applyNumberFormat="1" applyFill="1" applyBorder="1" applyAlignment="1">
      <alignment/>
    </xf>
    <xf numFmtId="0" fontId="7" fillId="0" borderId="16" xfId="0" applyFont="1" applyFill="1" applyBorder="1" applyAlignment="1">
      <alignment/>
    </xf>
    <xf numFmtId="4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Fill="1" applyBorder="1" applyAlignment="1">
      <alignment wrapText="1"/>
    </xf>
    <xf numFmtId="0" fontId="0" fillId="0" borderId="16" xfId="0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0" fontId="7" fillId="0" borderId="22" xfId="0" applyFont="1" applyBorder="1" applyAlignment="1">
      <alignment/>
    </xf>
    <xf numFmtId="4" fontId="7" fillId="0" borderId="22" xfId="0" applyNumberFormat="1" applyFont="1" applyBorder="1" applyAlignment="1">
      <alignment/>
    </xf>
    <xf numFmtId="0" fontId="7" fillId="32" borderId="13" xfId="0" applyFont="1" applyFill="1" applyBorder="1" applyAlignment="1">
      <alignment/>
    </xf>
    <xf numFmtId="4" fontId="7" fillId="32" borderId="23" xfId="0" applyNumberFormat="1" applyFont="1" applyFill="1" applyBorder="1" applyAlignment="1">
      <alignment/>
    </xf>
    <xf numFmtId="0" fontId="9" fillId="0" borderId="0" xfId="0" applyFont="1" applyAlignment="1">
      <alignment horizontal="centerContinuous"/>
    </xf>
    <xf numFmtId="0" fontId="7" fillId="32" borderId="24" xfId="0" applyFont="1" applyFill="1" applyBorder="1" applyAlignment="1">
      <alignment/>
    </xf>
    <xf numFmtId="4" fontId="7" fillId="32" borderId="24" xfId="0" applyNumberFormat="1" applyFont="1" applyFill="1" applyBorder="1" applyAlignment="1">
      <alignment/>
    </xf>
    <xf numFmtId="4" fontId="0" fillId="0" borderId="0" xfId="0" applyNumberFormat="1" applyAlignment="1">
      <alignment horizontal="centerContinuous"/>
    </xf>
    <xf numFmtId="0" fontId="0" fillId="0" borderId="16" xfId="0" applyBorder="1" applyAlignment="1">
      <alignment horizontal="center"/>
    </xf>
    <xf numFmtId="4" fontId="4" fillId="33" borderId="12" xfId="0" applyNumberFormat="1" applyFont="1" applyFill="1" applyBorder="1" applyAlignment="1">
      <alignment horizontal="center" vertical="top"/>
    </xf>
    <xf numFmtId="0" fontId="8" fillId="0" borderId="0" xfId="54">
      <alignment/>
      <protection/>
    </xf>
    <xf numFmtId="0" fontId="2" fillId="0" borderId="0" xfId="0" applyFont="1" applyAlignment="1">
      <alignment/>
    </xf>
    <xf numFmtId="0" fontId="2" fillId="32" borderId="20" xfId="0" applyFont="1" applyFill="1" applyBorder="1" applyAlignment="1">
      <alignment/>
    </xf>
    <xf numFmtId="0" fontId="2" fillId="32" borderId="25" xfId="0" applyFont="1" applyFill="1" applyBorder="1" applyAlignment="1">
      <alignment horizontal="right" vertical="center"/>
    </xf>
    <xf numFmtId="0" fontId="2" fillId="32" borderId="25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5" fillId="18" borderId="17" xfId="0" applyFont="1" applyFill="1" applyBorder="1" applyAlignment="1">
      <alignment/>
    </xf>
    <xf numFmtId="4" fontId="4" fillId="0" borderId="16" xfId="0" applyNumberFormat="1" applyFont="1" applyBorder="1" applyAlignment="1">
      <alignment horizontal="right" vertical="center"/>
    </xf>
    <xf numFmtId="4" fontId="5" fillId="34" borderId="16" xfId="0" applyNumberFormat="1" applyFont="1" applyFill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/>
    </xf>
    <xf numFmtId="0" fontId="5" fillId="18" borderId="10" xfId="0" applyFont="1" applyFill="1" applyBorder="1" applyAlignment="1">
      <alignment/>
    </xf>
    <xf numFmtId="4" fontId="4" fillId="0" borderId="22" xfId="0" applyNumberFormat="1" applyFont="1" applyBorder="1" applyAlignment="1">
      <alignment horizontal="right" vertical="center"/>
    </xf>
    <xf numFmtId="4" fontId="5" fillId="34" borderId="22" xfId="0" applyNumberFormat="1" applyFont="1" applyFill="1" applyBorder="1" applyAlignment="1">
      <alignment horizontal="right" vertical="center"/>
    </xf>
    <xf numFmtId="4" fontId="4" fillId="0" borderId="19" xfId="0" applyNumberFormat="1" applyFont="1" applyBorder="1" applyAlignment="1">
      <alignment horizontal="right" vertical="center"/>
    </xf>
    <xf numFmtId="0" fontId="2" fillId="32" borderId="13" xfId="0" applyFont="1" applyFill="1" applyBorder="1" applyAlignment="1">
      <alignment/>
    </xf>
    <xf numFmtId="4" fontId="2" fillId="32" borderId="15" xfId="0" applyNumberFormat="1" applyFont="1" applyFill="1" applyBorder="1" applyAlignment="1">
      <alignment horizontal="right" vertical="center"/>
    </xf>
    <xf numFmtId="4" fontId="4" fillId="0" borderId="0" xfId="54" applyNumberFormat="1" applyFont="1" applyFill="1" applyBorder="1" applyAlignment="1">
      <alignment horizontal="center" vertical="top"/>
      <protection/>
    </xf>
    <xf numFmtId="0" fontId="8" fillId="0" borderId="0" xfId="54" applyBorder="1">
      <alignment/>
      <protection/>
    </xf>
    <xf numFmtId="0" fontId="0" fillId="0" borderId="0" xfId="0" applyAlignment="1">
      <alignment/>
    </xf>
    <xf numFmtId="4" fontId="4" fillId="0" borderId="12" xfId="0" applyNumberFormat="1" applyFont="1" applyBorder="1" applyAlignment="1">
      <alignment horizontal="right" vertical="top"/>
    </xf>
    <xf numFmtId="0" fontId="4" fillId="0" borderId="16" xfId="0" applyFont="1" applyBorder="1" applyAlignment="1">
      <alignment wrapText="1"/>
    </xf>
    <xf numFmtId="0" fontId="2" fillId="32" borderId="26" xfId="0" applyFont="1" applyFill="1" applyBorder="1" applyAlignment="1">
      <alignment horizontal="center"/>
    </xf>
    <xf numFmtId="0" fontId="2" fillId="32" borderId="27" xfId="0" applyFont="1" applyFill="1" applyBorder="1" applyAlignment="1">
      <alignment horizontal="center"/>
    </xf>
    <xf numFmtId="0" fontId="5" fillId="32" borderId="28" xfId="0" applyFont="1" applyFill="1" applyBorder="1" applyAlignment="1">
      <alignment wrapText="1"/>
    </xf>
    <xf numFmtId="0" fontId="0" fillId="0" borderId="16" xfId="0" applyBorder="1" applyAlignment="1">
      <alignment wrapText="1"/>
    </xf>
    <xf numFmtId="14" fontId="5" fillId="32" borderId="16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wrapText="1"/>
    </xf>
    <xf numFmtId="4" fontId="0" fillId="0" borderId="16" xfId="0" applyNumberFormat="1" applyBorder="1" applyAlignment="1">
      <alignment horizontal="center"/>
    </xf>
    <xf numFmtId="0" fontId="11" fillId="0" borderId="0" xfId="0" applyFont="1" applyAlignment="1">
      <alignment/>
    </xf>
    <xf numFmtId="4" fontId="0" fillId="0" borderId="0" xfId="0" applyNumberFormat="1" applyAlignment="1">
      <alignment/>
    </xf>
    <xf numFmtId="180" fontId="5" fillId="32" borderId="13" xfId="0" applyNumberFormat="1" applyFont="1" applyFill="1" applyBorder="1" applyAlignment="1">
      <alignment horizontal="right"/>
    </xf>
    <xf numFmtId="0" fontId="0" fillId="0" borderId="29" xfId="0" applyFont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4" fillId="0" borderId="16" xfId="0" applyNumberFormat="1" applyFont="1" applyBorder="1" applyAlignment="1">
      <alignment horizontal="center" vertical="top"/>
    </xf>
    <xf numFmtId="0" fontId="7" fillId="35" borderId="13" xfId="0" applyFont="1" applyFill="1" applyBorder="1" applyAlignment="1">
      <alignment/>
    </xf>
    <xf numFmtId="4" fontId="7" fillId="35" borderId="23" xfId="0" applyNumberFormat="1" applyFont="1" applyFill="1" applyBorder="1" applyAlignment="1">
      <alignment/>
    </xf>
    <xf numFmtId="0" fontId="3" fillId="35" borderId="16" xfId="0" applyFont="1" applyFill="1" applyBorder="1" applyAlignment="1">
      <alignment horizontal="centerContinuous" vertical="center" wrapText="1"/>
    </xf>
    <xf numFmtId="0" fontId="0" fillId="35" borderId="16" xfId="0" applyFill="1" applyBorder="1" applyAlignment="1">
      <alignment horizontal="center"/>
    </xf>
    <xf numFmtId="4" fontId="0" fillId="35" borderId="16" xfId="0" applyNumberForma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0" fontId="4" fillId="0" borderId="31" xfId="0" applyFont="1" applyBorder="1" applyAlignment="1">
      <alignment wrapText="1"/>
    </xf>
    <xf numFmtId="4" fontId="4" fillId="0" borderId="24" xfId="0" applyNumberFormat="1" applyFont="1" applyBorder="1" applyAlignment="1">
      <alignment horizontal="center" vertical="top"/>
    </xf>
    <xf numFmtId="4" fontId="4" fillId="0" borderId="32" xfId="0" applyNumberFormat="1" applyFont="1" applyBorder="1" applyAlignment="1">
      <alignment horizontal="center" vertical="top"/>
    </xf>
    <xf numFmtId="4" fontId="10" fillId="0" borderId="32" xfId="53" applyNumberFormat="1" applyBorder="1" applyAlignment="1">
      <alignment horizontal="center"/>
      <protection/>
    </xf>
    <xf numFmtId="4" fontId="5" fillId="32" borderId="33" xfId="0" applyNumberFormat="1" applyFont="1" applyFill="1" applyBorder="1" applyAlignment="1">
      <alignment horizontal="center"/>
    </xf>
    <xf numFmtId="4" fontId="4" fillId="0" borderId="34" xfId="0" applyNumberFormat="1" applyFont="1" applyBorder="1" applyAlignment="1">
      <alignment horizontal="center" vertical="top"/>
    </xf>
    <xf numFmtId="4" fontId="4" fillId="0" borderId="35" xfId="0" applyNumberFormat="1" applyFont="1" applyBorder="1" applyAlignment="1">
      <alignment horizontal="center" vertical="top"/>
    </xf>
    <xf numFmtId="4" fontId="4" fillId="0" borderId="36" xfId="0" applyNumberFormat="1" applyFont="1" applyBorder="1" applyAlignment="1">
      <alignment horizontal="center" vertical="top"/>
    </xf>
    <xf numFmtId="4" fontId="5" fillId="32" borderId="37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4" fontId="10" fillId="0" borderId="34" xfId="53" applyNumberFormat="1" applyFill="1" applyBorder="1" applyAlignment="1">
      <alignment horizontal="center"/>
      <protection/>
    </xf>
    <xf numFmtId="4" fontId="4" fillId="0" borderId="32" xfId="0" applyNumberFormat="1" applyFont="1" applyFill="1" applyBorder="1" applyAlignment="1">
      <alignment horizontal="center" vertical="top"/>
    </xf>
    <xf numFmtId="4" fontId="4" fillId="0" borderId="24" xfId="0" applyNumberFormat="1" applyFont="1" applyFill="1" applyBorder="1" applyAlignment="1">
      <alignment horizontal="center" vertical="top"/>
    </xf>
    <xf numFmtId="4" fontId="4" fillId="0" borderId="16" xfId="0" applyNumberFormat="1" applyFont="1" applyFill="1" applyBorder="1" applyAlignment="1">
      <alignment horizontal="center" vertical="top"/>
    </xf>
    <xf numFmtId="0" fontId="2" fillId="32" borderId="13" xfId="0" applyFont="1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/>
    </xf>
    <xf numFmtId="0" fontId="0" fillId="32" borderId="23" xfId="0" applyFill="1" applyBorder="1" applyAlignment="1">
      <alignment horizontal="center"/>
    </xf>
    <xf numFmtId="4" fontId="8" fillId="0" borderId="16" xfId="0" applyNumberFormat="1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0" fillId="0" borderId="38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/>
    </xf>
    <xf numFmtId="0" fontId="0" fillId="0" borderId="31" xfId="0" applyFont="1" applyBorder="1" applyAlignment="1">
      <alignment horizontal="left" vertical="center" wrapText="1"/>
    </xf>
    <xf numFmtId="4" fontId="0" fillId="0" borderId="39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4" fillId="0" borderId="22" xfId="0" applyNumberFormat="1" applyFont="1" applyBorder="1" applyAlignment="1">
      <alignment horizontal="center" vertical="top"/>
    </xf>
    <xf numFmtId="4" fontId="4" fillId="0" borderId="40" xfId="0" applyNumberFormat="1" applyFont="1" applyBorder="1" applyAlignment="1">
      <alignment horizontal="center" vertical="top"/>
    </xf>
    <xf numFmtId="4" fontId="4" fillId="0" borderId="41" xfId="0" applyNumberFormat="1" applyFont="1" applyBorder="1" applyAlignment="1">
      <alignment horizontal="center" vertical="top"/>
    </xf>
    <xf numFmtId="4" fontId="0" fillId="0" borderId="26" xfId="0" applyNumberFormat="1" applyFont="1" applyFill="1" applyBorder="1" applyAlignment="1">
      <alignment horizontal="center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2" fillId="32" borderId="42" xfId="0" applyFont="1" applyFill="1" applyBorder="1" applyAlignment="1">
      <alignment horizontal="center"/>
    </xf>
    <xf numFmtId="4" fontId="4" fillId="0" borderId="42" xfId="0" applyNumberFormat="1" applyFont="1" applyFill="1" applyBorder="1" applyAlignment="1">
      <alignment horizontal="right" vertical="top"/>
    </xf>
    <xf numFmtId="4" fontId="4" fillId="0" borderId="42" xfId="0" applyNumberFormat="1" applyFont="1" applyBorder="1" applyAlignment="1">
      <alignment horizontal="right" vertical="top"/>
    </xf>
    <xf numFmtId="0" fontId="0" fillId="0" borderId="42" xfId="0" applyBorder="1" applyAlignment="1">
      <alignment/>
    </xf>
    <xf numFmtId="0" fontId="2" fillId="32" borderId="17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4" fontId="4" fillId="0" borderId="18" xfId="0" applyNumberFormat="1" applyFont="1" applyFill="1" applyBorder="1" applyAlignment="1">
      <alignment horizontal="right" vertical="top"/>
    </xf>
    <xf numFmtId="4" fontId="4" fillId="0" borderId="17" xfId="0" applyNumberFormat="1" applyFont="1" applyBorder="1" applyAlignment="1">
      <alignment horizontal="right" vertical="top"/>
    </xf>
    <xf numFmtId="0" fontId="0" fillId="0" borderId="17" xfId="0" applyBorder="1" applyAlignment="1">
      <alignment/>
    </xf>
    <xf numFmtId="180" fontId="5" fillId="32" borderId="38" xfId="0" applyNumberFormat="1" applyFont="1" applyFill="1" applyBorder="1" applyAlignment="1">
      <alignment horizontal="right"/>
    </xf>
    <xf numFmtId="180" fontId="5" fillId="32" borderId="30" xfId="0" applyNumberFormat="1" applyFont="1" applyFill="1" applyBorder="1" applyAlignment="1">
      <alignment horizontal="right"/>
    </xf>
    <xf numFmtId="0" fontId="4" fillId="0" borderId="43" xfId="0" applyFont="1" applyBorder="1" applyAlignment="1">
      <alignment wrapText="1"/>
    </xf>
    <xf numFmtId="0" fontId="4" fillId="0" borderId="43" xfId="0" applyFont="1" applyFill="1" applyBorder="1" applyAlignment="1">
      <alignment wrapText="1"/>
    </xf>
    <xf numFmtId="0" fontId="5" fillId="32" borderId="44" xfId="0" applyFont="1" applyFill="1" applyBorder="1" applyAlignment="1">
      <alignment wrapText="1"/>
    </xf>
    <xf numFmtId="180" fontId="5" fillId="32" borderId="45" xfId="0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0" fillId="32" borderId="46" xfId="0" applyFill="1" applyBorder="1" applyAlignment="1">
      <alignment horizontal="center" wrapText="1"/>
    </xf>
    <xf numFmtId="0" fontId="0" fillId="32" borderId="47" xfId="0" applyFill="1" applyBorder="1" applyAlignment="1">
      <alignment horizontal="center" wrapText="1"/>
    </xf>
    <xf numFmtId="0" fontId="0" fillId="32" borderId="46" xfId="0" applyFill="1" applyBorder="1" applyAlignment="1">
      <alignment horizontal="center"/>
    </xf>
    <xf numFmtId="0" fontId="0" fillId="32" borderId="47" xfId="0" applyFill="1" applyBorder="1" applyAlignment="1">
      <alignment horizontal="center"/>
    </xf>
    <xf numFmtId="0" fontId="0" fillId="32" borderId="20" xfId="0" applyFill="1" applyBorder="1" applyAlignment="1">
      <alignment horizontal="center" wrapText="1"/>
    </xf>
    <xf numFmtId="0" fontId="0" fillId="32" borderId="38" xfId="0" applyFill="1" applyBorder="1" applyAlignment="1">
      <alignment horizontal="center" wrapText="1"/>
    </xf>
    <xf numFmtId="0" fontId="0" fillId="32" borderId="25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32" borderId="48" xfId="0" applyFill="1" applyBorder="1" applyAlignment="1">
      <alignment horizontal="center"/>
    </xf>
    <xf numFmtId="0" fontId="0" fillId="32" borderId="49" xfId="0" applyFill="1" applyBorder="1" applyAlignment="1">
      <alignment horizontal="center"/>
    </xf>
    <xf numFmtId="0" fontId="0" fillId="32" borderId="50" xfId="0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Alignment="1">
      <alignment horizontal="center"/>
    </xf>
    <xf numFmtId="0" fontId="2" fillId="32" borderId="52" xfId="0" applyFont="1" applyFill="1" applyBorder="1" applyAlignment="1">
      <alignment horizontal="center" wrapText="1"/>
    </xf>
    <xf numFmtId="0" fontId="2" fillId="32" borderId="27" xfId="0" applyFont="1" applyFill="1" applyBorder="1" applyAlignment="1">
      <alignment horizontal="center" wrapText="1"/>
    </xf>
    <xf numFmtId="0" fontId="2" fillId="32" borderId="53" xfId="0" applyFont="1" applyFill="1" applyBorder="1" applyAlignment="1">
      <alignment horizontal="center" wrapText="1"/>
    </xf>
    <xf numFmtId="0" fontId="2" fillId="32" borderId="54" xfId="0" applyFont="1" applyFill="1" applyBorder="1" applyAlignment="1">
      <alignment horizontal="center"/>
    </xf>
    <xf numFmtId="0" fontId="2" fillId="32" borderId="55" xfId="0" applyFont="1" applyFill="1" applyBorder="1" applyAlignment="1">
      <alignment horizontal="center"/>
    </xf>
    <xf numFmtId="0" fontId="2" fillId="32" borderId="56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Xl0000012" xfId="53"/>
    <cellStyle name="Обычный_Книга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0"/>
  <sheetViews>
    <sheetView zoomScalePageLayoutView="0" workbookViewId="0" topLeftCell="A81">
      <selection activeCell="F83" sqref="F83"/>
    </sheetView>
  </sheetViews>
  <sheetFormatPr defaultColWidth="9.140625" defaultRowHeight="12.75"/>
  <cols>
    <col min="1" max="1" width="26.57421875" style="0" customWidth="1"/>
    <col min="2" max="2" width="17.28125" style="0" customWidth="1"/>
    <col min="3" max="3" width="17.8515625" style="0" customWidth="1"/>
    <col min="4" max="4" width="18.421875" style="0" customWidth="1"/>
    <col min="5" max="5" width="18.57421875" style="0" customWidth="1"/>
    <col min="6" max="6" width="19.7109375" style="0" customWidth="1"/>
    <col min="7" max="7" width="17.421875" style="0" customWidth="1"/>
    <col min="8" max="8" width="14.421875" style="0" customWidth="1"/>
    <col min="9" max="9" width="14.28125" style="0" customWidth="1"/>
    <col min="10" max="10" width="19.57421875" style="0" customWidth="1"/>
  </cols>
  <sheetData>
    <row r="1" spans="1:7" ht="21">
      <c r="A1" s="1"/>
      <c r="B1" s="32" t="s">
        <v>95</v>
      </c>
      <c r="C1" s="2"/>
      <c r="D1" s="2"/>
      <c r="E1" s="2"/>
      <c r="F1" s="2"/>
      <c r="G1" s="2"/>
    </row>
    <row r="2" spans="1:7" ht="12.75">
      <c r="A2" s="3"/>
      <c r="B2" s="4"/>
      <c r="C2" s="4"/>
      <c r="D2" s="4"/>
      <c r="E2" s="4"/>
      <c r="F2" s="4"/>
      <c r="G2" s="4"/>
    </row>
    <row r="3" spans="1:7" ht="13.5" thickBot="1">
      <c r="A3" s="140" t="s">
        <v>21</v>
      </c>
      <c r="B3" s="141"/>
      <c r="C3" s="2"/>
      <c r="D3" s="2"/>
      <c r="E3" s="2"/>
      <c r="F3" s="2"/>
      <c r="G3" s="2"/>
    </row>
    <row r="4" spans="1:6" ht="13.5" thickBot="1">
      <c r="A4" s="96" t="s">
        <v>22</v>
      </c>
      <c r="B4" s="97" t="s">
        <v>82</v>
      </c>
      <c r="C4" s="97" t="s">
        <v>84</v>
      </c>
      <c r="D4" s="97" t="s">
        <v>90</v>
      </c>
      <c r="E4" s="98" t="s">
        <v>91</v>
      </c>
      <c r="F4" s="2"/>
    </row>
    <row r="5" spans="1:6" ht="12.75">
      <c r="A5" s="103" t="s">
        <v>128</v>
      </c>
      <c r="B5" s="79">
        <v>542.21</v>
      </c>
      <c r="C5" s="80">
        <v>1704424.9</v>
      </c>
      <c r="D5" s="102">
        <v>2363.38</v>
      </c>
      <c r="E5" s="104">
        <v>7499630.82</v>
      </c>
      <c r="F5" s="2"/>
    </row>
    <row r="6" spans="1:7" ht="13.5" thickBot="1">
      <c r="A6" s="101" t="s">
        <v>129</v>
      </c>
      <c r="B6" s="71"/>
      <c r="C6" s="72"/>
      <c r="D6" s="71">
        <v>50.09</v>
      </c>
      <c r="E6" s="110">
        <v>146385.47</v>
      </c>
      <c r="F6" s="2"/>
      <c r="G6" s="35"/>
    </row>
    <row r="7" spans="1:7" ht="15" thickBot="1">
      <c r="A7" s="130" t="s">
        <v>96</v>
      </c>
      <c r="B7" s="131"/>
      <c r="C7" s="14"/>
      <c r="D7" s="14"/>
      <c r="E7" s="14"/>
      <c r="F7" s="2"/>
      <c r="G7" s="2"/>
    </row>
    <row r="8" spans="1:4" ht="12.75" customHeight="1">
      <c r="A8" s="132" t="s">
        <v>18</v>
      </c>
      <c r="B8" s="134" t="s">
        <v>9</v>
      </c>
      <c r="C8" s="134" t="s">
        <v>10</v>
      </c>
      <c r="D8" s="134" t="s">
        <v>56</v>
      </c>
    </row>
    <row r="9" spans="1:4" ht="13.5" thickBot="1">
      <c r="A9" s="133"/>
      <c r="B9" s="135" t="s">
        <v>0</v>
      </c>
      <c r="C9" s="135" t="s">
        <v>1</v>
      </c>
      <c r="D9" s="135" t="s">
        <v>0</v>
      </c>
    </row>
    <row r="10" spans="1:6" ht="12.75">
      <c r="A10" s="5" t="s">
        <v>101</v>
      </c>
      <c r="B10" s="7">
        <v>40041.7</v>
      </c>
      <c r="C10" s="7">
        <f>D10/B10</f>
        <v>3721.836482966508</v>
      </c>
      <c r="D10" s="37">
        <v>149028659.9</v>
      </c>
      <c r="F10" s="10"/>
    </row>
    <row r="11" spans="1:4" ht="12.75">
      <c r="A11" s="5" t="s">
        <v>102</v>
      </c>
      <c r="B11" s="7">
        <v>207.4</v>
      </c>
      <c r="C11" s="7">
        <f>D11/B11</f>
        <v>4070</v>
      </c>
      <c r="D11" s="7">
        <v>844118</v>
      </c>
    </row>
    <row r="12" spans="1:4" ht="13.5" thickBot="1">
      <c r="A12" s="5" t="s">
        <v>87</v>
      </c>
      <c r="B12" s="7">
        <v>420</v>
      </c>
      <c r="C12" s="7">
        <f>D12/B12</f>
        <v>4570</v>
      </c>
      <c r="D12" s="7">
        <v>1919400</v>
      </c>
    </row>
    <row r="13" spans="1:4" ht="12.75" hidden="1">
      <c r="A13" s="5"/>
      <c r="B13" s="7"/>
      <c r="C13" s="7"/>
      <c r="D13" s="7"/>
    </row>
    <row r="14" spans="1:4" ht="12.75" hidden="1">
      <c r="A14" s="5"/>
      <c r="B14" s="7"/>
      <c r="C14" s="7" t="e">
        <f>D14/B14</f>
        <v>#DIV/0!</v>
      </c>
      <c r="D14" s="7"/>
    </row>
    <row r="15" spans="1:4" ht="12.75" hidden="1">
      <c r="A15" s="5"/>
      <c r="B15" s="7"/>
      <c r="C15" s="7" t="e">
        <f>D15/B15</f>
        <v>#DIV/0!</v>
      </c>
      <c r="D15" s="7"/>
    </row>
    <row r="16" spans="1:4" ht="13.5" hidden="1" thickBot="1">
      <c r="A16" s="5"/>
      <c r="B16" s="7" t="s">
        <v>2</v>
      </c>
      <c r="C16" s="7"/>
      <c r="D16" s="7"/>
    </row>
    <row r="17" spans="1:8" ht="13.5" thickBot="1">
      <c r="A17" s="11" t="s">
        <v>17</v>
      </c>
      <c r="B17" s="12">
        <f>SUM(B10:B16)</f>
        <v>40669.1</v>
      </c>
      <c r="C17" s="12"/>
      <c r="D17" s="12">
        <f>SUM(D10:D16)</f>
        <v>151792177.9</v>
      </c>
      <c r="E17" s="10">
        <f>D17*18/118</f>
        <v>23154739.001694918</v>
      </c>
      <c r="F17" s="10">
        <f>C5+C6+D17-E17-E5-E6</f>
        <v>122695847.5083051</v>
      </c>
      <c r="G17" s="10"/>
      <c r="H17" s="10"/>
    </row>
    <row r="18" spans="1:7" ht="12.75">
      <c r="A18" s="3"/>
      <c r="B18" s="2"/>
      <c r="C18" s="2"/>
      <c r="D18" s="2"/>
      <c r="E18" s="2"/>
      <c r="F18" s="35"/>
      <c r="G18" s="2"/>
    </row>
    <row r="19" spans="1:7" ht="15" thickBot="1">
      <c r="A19" s="130" t="s">
        <v>97</v>
      </c>
      <c r="B19" s="131"/>
      <c r="C19" s="14"/>
      <c r="D19" s="14"/>
      <c r="E19" s="14"/>
      <c r="F19" s="2"/>
      <c r="G19" s="2"/>
    </row>
    <row r="20" spans="1:8" ht="12.75">
      <c r="A20" s="136" t="s">
        <v>8</v>
      </c>
      <c r="B20" s="138" t="s">
        <v>9</v>
      </c>
      <c r="C20" s="138" t="s">
        <v>10</v>
      </c>
      <c r="D20" s="138" t="s">
        <v>11</v>
      </c>
      <c r="E20" s="138" t="s">
        <v>12</v>
      </c>
      <c r="F20" s="138" t="s">
        <v>13</v>
      </c>
      <c r="G20" s="142" t="s">
        <v>14</v>
      </c>
      <c r="H20" s="144" t="s">
        <v>15</v>
      </c>
    </row>
    <row r="21" spans="1:8" ht="14.25" customHeight="1" thickBot="1">
      <c r="A21" s="137"/>
      <c r="B21" s="139"/>
      <c r="C21" s="139"/>
      <c r="D21" s="139"/>
      <c r="E21" s="139"/>
      <c r="F21" s="139"/>
      <c r="G21" s="143"/>
      <c r="H21" s="145"/>
    </row>
    <row r="22" spans="1:9" ht="14.25">
      <c r="A22" s="90" t="s">
        <v>103</v>
      </c>
      <c r="B22" s="94">
        <v>2258</v>
      </c>
      <c r="C22" s="82">
        <f aca="true" t="shared" si="0" ref="C22:C47">D22/B22</f>
        <v>3778.476527900797</v>
      </c>
      <c r="D22" s="94">
        <v>8531800</v>
      </c>
      <c r="E22" s="82">
        <f aca="true" t="shared" si="1" ref="E22:E54">D22*18/118</f>
        <v>1301461.0169491526</v>
      </c>
      <c r="F22" s="82">
        <f aca="true" t="shared" si="2" ref="F22:F47">D22-E22</f>
        <v>7230338.983050847</v>
      </c>
      <c r="G22" s="92">
        <v>7085412.4</v>
      </c>
      <c r="H22" s="87">
        <f aca="true" t="shared" si="3" ref="H22:H54">F22-G22</f>
        <v>144926.58305084705</v>
      </c>
      <c r="I22" s="10"/>
    </row>
    <row r="23" spans="1:9" ht="14.25">
      <c r="A23" s="90" t="s">
        <v>80</v>
      </c>
      <c r="B23" s="94">
        <v>1112</v>
      </c>
      <c r="C23" s="82">
        <f t="shared" si="0"/>
        <v>3837.634892086331</v>
      </c>
      <c r="D23" s="94">
        <v>4267450</v>
      </c>
      <c r="E23" s="82">
        <f t="shared" si="1"/>
        <v>650966.9491525424</v>
      </c>
      <c r="F23" s="82">
        <f t="shared" si="2"/>
        <v>3616483.0508474577</v>
      </c>
      <c r="G23" s="92">
        <v>3529428.85</v>
      </c>
      <c r="H23" s="87">
        <f t="shared" si="3"/>
        <v>87054.20084745763</v>
      </c>
      <c r="I23" s="10"/>
    </row>
    <row r="24" spans="1:9" ht="12.75">
      <c r="A24" s="91" t="s">
        <v>87</v>
      </c>
      <c r="B24" s="95">
        <v>84</v>
      </c>
      <c r="C24" s="73">
        <f t="shared" si="0"/>
        <v>3811.1000000000004</v>
      </c>
      <c r="D24" s="95">
        <v>320132.4</v>
      </c>
      <c r="E24" s="73">
        <f t="shared" si="1"/>
        <v>48833.75593220339</v>
      </c>
      <c r="F24" s="73">
        <f t="shared" si="2"/>
        <v>271298.64406779665</v>
      </c>
      <c r="G24" s="93">
        <v>261180.43</v>
      </c>
      <c r="H24" s="88">
        <f t="shared" si="3"/>
        <v>10118.214067796653</v>
      </c>
      <c r="I24" s="10"/>
    </row>
    <row r="25" spans="1:9" ht="12.75">
      <c r="A25" s="91" t="s">
        <v>3</v>
      </c>
      <c r="B25" s="95">
        <v>1176</v>
      </c>
      <c r="C25" s="73">
        <f t="shared" si="0"/>
        <v>4417.857142857143</v>
      </c>
      <c r="D25" s="95">
        <v>5195400</v>
      </c>
      <c r="E25" s="73">
        <f t="shared" si="1"/>
        <v>792518.6440677966</v>
      </c>
      <c r="F25" s="73">
        <f t="shared" si="2"/>
        <v>4402881.355932203</v>
      </c>
      <c r="G25" s="93">
        <v>3785802.42</v>
      </c>
      <c r="H25" s="88">
        <f t="shared" si="3"/>
        <v>617078.9359322032</v>
      </c>
      <c r="I25" s="10"/>
    </row>
    <row r="26" spans="1:9" ht="12.75">
      <c r="A26" s="91" t="s">
        <v>104</v>
      </c>
      <c r="B26" s="95">
        <v>7481.14</v>
      </c>
      <c r="C26" s="73">
        <f t="shared" si="0"/>
        <v>4091.6263270036384</v>
      </c>
      <c r="D26" s="95">
        <v>30610029.38</v>
      </c>
      <c r="E26" s="73">
        <f t="shared" si="1"/>
        <v>4669326.5155932205</v>
      </c>
      <c r="F26" s="73">
        <f t="shared" si="2"/>
        <v>25940702.86440678</v>
      </c>
      <c r="G26" s="93">
        <f>23853957.44-22292.68</f>
        <v>23831664.76</v>
      </c>
      <c r="H26" s="88">
        <f t="shared" si="3"/>
        <v>2109038.104406778</v>
      </c>
      <c r="I26" s="10"/>
    </row>
    <row r="27" spans="1:9" ht="12.75">
      <c r="A27" s="91" t="s">
        <v>105</v>
      </c>
      <c r="B27" s="95">
        <v>260</v>
      </c>
      <c r="C27" s="73">
        <f t="shared" si="0"/>
        <v>3835.576923076923</v>
      </c>
      <c r="D27" s="95">
        <v>997250</v>
      </c>
      <c r="E27" s="73">
        <f t="shared" si="1"/>
        <v>152122.88135593222</v>
      </c>
      <c r="F27" s="73">
        <f t="shared" si="2"/>
        <v>845127.1186440678</v>
      </c>
      <c r="G27" s="93">
        <v>820836.64</v>
      </c>
      <c r="H27" s="88">
        <f t="shared" si="3"/>
        <v>24290.47864406777</v>
      </c>
      <c r="I27" s="10"/>
    </row>
    <row r="28" spans="1:9" ht="12.75">
      <c r="A28" s="91" t="s">
        <v>106</v>
      </c>
      <c r="B28" s="95">
        <v>21</v>
      </c>
      <c r="C28" s="73">
        <f t="shared" si="0"/>
        <v>4200</v>
      </c>
      <c r="D28" s="95">
        <v>88200</v>
      </c>
      <c r="E28" s="73">
        <f t="shared" si="1"/>
        <v>13454.237288135593</v>
      </c>
      <c r="F28" s="73">
        <f t="shared" si="2"/>
        <v>74745.7627118644</v>
      </c>
      <c r="G28" s="93">
        <v>63525</v>
      </c>
      <c r="H28" s="88">
        <f t="shared" si="3"/>
        <v>11220.762711864401</v>
      </c>
      <c r="I28" s="10"/>
    </row>
    <row r="29" spans="1:10" ht="12.75">
      <c r="A29" s="91" t="s">
        <v>107</v>
      </c>
      <c r="B29" s="95">
        <v>41</v>
      </c>
      <c r="C29" s="73">
        <f t="shared" si="0"/>
        <v>4450</v>
      </c>
      <c r="D29" s="95">
        <v>182450</v>
      </c>
      <c r="E29" s="73">
        <f t="shared" si="1"/>
        <v>27831.35593220339</v>
      </c>
      <c r="F29" s="73">
        <f t="shared" si="2"/>
        <v>154618.64406779662</v>
      </c>
      <c r="G29" s="93">
        <v>140821.86</v>
      </c>
      <c r="H29" s="88">
        <f t="shared" si="3"/>
        <v>13796.78406779663</v>
      </c>
      <c r="I29" s="10"/>
      <c r="J29" s="10"/>
    </row>
    <row r="30" spans="1:9" ht="12.75">
      <c r="A30" s="91" t="s">
        <v>108</v>
      </c>
      <c r="B30" s="95">
        <v>120</v>
      </c>
      <c r="C30" s="73">
        <f t="shared" si="0"/>
        <v>4433.333333333333</v>
      </c>
      <c r="D30" s="95">
        <v>532000</v>
      </c>
      <c r="E30" s="73">
        <f t="shared" si="1"/>
        <v>81152.54237288136</v>
      </c>
      <c r="F30" s="73">
        <f t="shared" si="2"/>
        <v>450847.4576271186</v>
      </c>
      <c r="G30" s="93">
        <v>418971.66</v>
      </c>
      <c r="H30" s="88">
        <f t="shared" si="3"/>
        <v>31875.79762711865</v>
      </c>
      <c r="I30" s="10"/>
    </row>
    <row r="31" spans="1:9" ht="12.75">
      <c r="A31" s="91" t="s">
        <v>109</v>
      </c>
      <c r="B31" s="95">
        <v>60</v>
      </c>
      <c r="C31" s="73">
        <f t="shared" si="0"/>
        <v>4300</v>
      </c>
      <c r="D31" s="95">
        <v>258000</v>
      </c>
      <c r="E31" s="73">
        <f t="shared" si="1"/>
        <v>39355.93220338983</v>
      </c>
      <c r="F31" s="73">
        <f t="shared" si="2"/>
        <v>218644.06779661018</v>
      </c>
      <c r="G31" s="93">
        <v>195786.91</v>
      </c>
      <c r="H31" s="88">
        <f t="shared" si="3"/>
        <v>22857.157796610176</v>
      </c>
      <c r="I31" s="10"/>
    </row>
    <row r="32" spans="1:9" ht="12.75">
      <c r="A32" s="91" t="s">
        <v>110</v>
      </c>
      <c r="B32" s="95">
        <v>258.8</v>
      </c>
      <c r="C32" s="73">
        <f t="shared" si="0"/>
        <v>4010.548686244204</v>
      </c>
      <c r="D32" s="95">
        <v>1037930</v>
      </c>
      <c r="E32" s="73">
        <f t="shared" si="1"/>
        <v>158328.30508474575</v>
      </c>
      <c r="F32" s="73">
        <f t="shared" si="2"/>
        <v>879601.6949152543</v>
      </c>
      <c r="G32" s="93">
        <v>844676.16</v>
      </c>
      <c r="H32" s="88">
        <f t="shared" si="3"/>
        <v>34925.53491525422</v>
      </c>
      <c r="I32" s="10"/>
    </row>
    <row r="33" spans="1:9" ht="12.75">
      <c r="A33" s="91" t="s">
        <v>111</v>
      </c>
      <c r="B33" s="95">
        <v>562.6</v>
      </c>
      <c r="C33" s="73">
        <f t="shared" si="0"/>
        <v>3873.8890863846427</v>
      </c>
      <c r="D33" s="95">
        <v>2179450</v>
      </c>
      <c r="E33" s="73">
        <f t="shared" si="1"/>
        <v>332458.4745762712</v>
      </c>
      <c r="F33" s="73">
        <f t="shared" si="2"/>
        <v>1846991.5254237289</v>
      </c>
      <c r="G33" s="93">
        <v>1795540.73</v>
      </c>
      <c r="H33" s="88">
        <f t="shared" si="3"/>
        <v>51450.79542372888</v>
      </c>
      <c r="I33" s="10"/>
    </row>
    <row r="34" spans="1:9" ht="14.25">
      <c r="A34" s="91" t="s">
        <v>112</v>
      </c>
      <c r="B34" s="95">
        <v>734.3</v>
      </c>
      <c r="C34" s="73">
        <f t="shared" si="0"/>
        <v>4692.945662535749</v>
      </c>
      <c r="D34" s="95">
        <v>3446030</v>
      </c>
      <c r="E34" s="73">
        <f t="shared" si="1"/>
        <v>525665.593220339</v>
      </c>
      <c r="F34" s="73">
        <f t="shared" si="2"/>
        <v>2920364.406779661</v>
      </c>
      <c r="G34" s="84">
        <v>2348784.43</v>
      </c>
      <c r="H34" s="88">
        <f t="shared" si="3"/>
        <v>571579.9767796607</v>
      </c>
      <c r="I34" s="10"/>
    </row>
    <row r="35" spans="1:9" ht="12.75">
      <c r="A35" s="91" t="s">
        <v>113</v>
      </c>
      <c r="B35" s="95">
        <v>288.11</v>
      </c>
      <c r="C35" s="73">
        <f t="shared" si="0"/>
        <v>4390.907986532921</v>
      </c>
      <c r="D35" s="95">
        <v>1265064.5</v>
      </c>
      <c r="E35" s="73">
        <f t="shared" si="1"/>
        <v>192975.9406779661</v>
      </c>
      <c r="F35" s="73">
        <f t="shared" si="2"/>
        <v>1072088.559322034</v>
      </c>
      <c r="G35" s="83">
        <v>929925.02</v>
      </c>
      <c r="H35" s="88">
        <f t="shared" si="3"/>
        <v>142163.539322034</v>
      </c>
      <c r="I35" s="10"/>
    </row>
    <row r="36" spans="1:9" ht="12.75">
      <c r="A36" s="91" t="s">
        <v>114</v>
      </c>
      <c r="B36" s="95">
        <v>205.1</v>
      </c>
      <c r="C36" s="73">
        <f t="shared" si="0"/>
        <v>3475</v>
      </c>
      <c r="D36" s="95">
        <v>712722.5</v>
      </c>
      <c r="E36" s="73">
        <f t="shared" si="1"/>
        <v>108720.3813559322</v>
      </c>
      <c r="F36" s="73">
        <f t="shared" si="2"/>
        <v>604002.1186440678</v>
      </c>
      <c r="G36" s="83">
        <v>602998.57</v>
      </c>
      <c r="H36" s="88">
        <f t="shared" si="3"/>
        <v>1003.548644067836</v>
      </c>
      <c r="I36" s="10"/>
    </row>
    <row r="37" spans="1:9" ht="12.75">
      <c r="A37" s="91" t="s">
        <v>66</v>
      </c>
      <c r="B37" s="95">
        <v>67.81</v>
      </c>
      <c r="C37" s="73">
        <f t="shared" si="0"/>
        <v>4400</v>
      </c>
      <c r="D37" s="95">
        <v>298364</v>
      </c>
      <c r="E37" s="73">
        <f t="shared" si="1"/>
        <v>45513.15254237288</v>
      </c>
      <c r="F37" s="73">
        <f t="shared" si="2"/>
        <v>252850.84745762713</v>
      </c>
      <c r="G37" s="83">
        <v>211807.36</v>
      </c>
      <c r="H37" s="88">
        <f t="shared" si="3"/>
        <v>41043.48745762714</v>
      </c>
      <c r="I37" s="10"/>
    </row>
    <row r="38" spans="1:9" ht="12.75">
      <c r="A38" s="91" t="s">
        <v>115</v>
      </c>
      <c r="B38" s="95">
        <v>441</v>
      </c>
      <c r="C38" s="73">
        <f t="shared" si="0"/>
        <v>4257.142857142857</v>
      </c>
      <c r="D38" s="95">
        <v>1877400</v>
      </c>
      <c r="E38" s="73">
        <f t="shared" si="1"/>
        <v>286383.0508474576</v>
      </c>
      <c r="F38" s="73">
        <f t="shared" si="2"/>
        <v>1591016.9491525423</v>
      </c>
      <c r="G38" s="83">
        <v>1323261.71</v>
      </c>
      <c r="H38" s="88">
        <f t="shared" si="3"/>
        <v>267755.2391525423</v>
      </c>
      <c r="I38" s="10"/>
    </row>
    <row r="39" spans="1:9" ht="12.75">
      <c r="A39" s="91" t="s">
        <v>116</v>
      </c>
      <c r="B39" s="95">
        <v>1779.05</v>
      </c>
      <c r="C39" s="73">
        <f t="shared" si="0"/>
        <v>4748.13535313791</v>
      </c>
      <c r="D39" s="95">
        <v>8447170.2</v>
      </c>
      <c r="E39" s="73">
        <f t="shared" si="1"/>
        <v>1288551.3864406778</v>
      </c>
      <c r="F39" s="73">
        <f t="shared" si="2"/>
        <v>7158618.813559322</v>
      </c>
      <c r="G39" s="83">
        <v>5727619.77</v>
      </c>
      <c r="H39" s="88">
        <f t="shared" si="3"/>
        <v>1430999.0435593221</v>
      </c>
      <c r="I39" s="10"/>
    </row>
    <row r="40" spans="1:9" ht="12.75">
      <c r="A40" s="91" t="s">
        <v>117</v>
      </c>
      <c r="B40" s="95">
        <v>696.98</v>
      </c>
      <c r="C40" s="73">
        <f t="shared" si="0"/>
        <v>4368.81115670464</v>
      </c>
      <c r="D40" s="73">
        <v>3044974</v>
      </c>
      <c r="E40" s="73">
        <f t="shared" si="1"/>
        <v>464487.5593220339</v>
      </c>
      <c r="F40" s="73">
        <f t="shared" si="2"/>
        <v>2580486.440677966</v>
      </c>
      <c r="G40" s="83">
        <v>2217500.67</v>
      </c>
      <c r="H40" s="88">
        <f t="shared" si="3"/>
        <v>362985.77067796607</v>
      </c>
      <c r="I40" s="10"/>
    </row>
    <row r="41" spans="1:9" ht="12.75">
      <c r="A41" s="91" t="s">
        <v>86</v>
      </c>
      <c r="B41" s="95">
        <v>1233</v>
      </c>
      <c r="C41" s="73">
        <f t="shared" si="0"/>
        <v>3943.4744525547444</v>
      </c>
      <c r="D41" s="73">
        <v>4862304</v>
      </c>
      <c r="E41" s="73">
        <f t="shared" si="1"/>
        <v>741707.3898305085</v>
      </c>
      <c r="F41" s="73">
        <f t="shared" si="2"/>
        <v>4120596.6101694917</v>
      </c>
      <c r="G41" s="83">
        <v>3999218.17</v>
      </c>
      <c r="H41" s="88">
        <f t="shared" si="3"/>
        <v>121378.4401694918</v>
      </c>
      <c r="I41" s="10"/>
    </row>
    <row r="42" spans="1:9" ht="12.75">
      <c r="A42" s="91" t="s">
        <v>118</v>
      </c>
      <c r="B42" s="95">
        <v>91.3</v>
      </c>
      <c r="C42" s="73">
        <f t="shared" si="0"/>
        <v>4447.426067907996</v>
      </c>
      <c r="D42" s="73">
        <v>406050</v>
      </c>
      <c r="E42" s="73">
        <f t="shared" si="1"/>
        <v>61939.83050847457</v>
      </c>
      <c r="F42" s="73">
        <f t="shared" si="2"/>
        <v>344110.16949152545</v>
      </c>
      <c r="G42" s="83">
        <v>277142.54</v>
      </c>
      <c r="H42" s="88">
        <f t="shared" si="3"/>
        <v>66967.62949152547</v>
      </c>
      <c r="I42" s="10"/>
    </row>
    <row r="43" spans="1:9" ht="12.75">
      <c r="A43" s="91" t="s">
        <v>119</v>
      </c>
      <c r="B43" s="95">
        <v>1089</v>
      </c>
      <c r="C43" s="73">
        <f t="shared" si="0"/>
        <v>4200</v>
      </c>
      <c r="D43" s="73">
        <v>4573800</v>
      </c>
      <c r="E43" s="73">
        <f t="shared" si="1"/>
        <v>697698.3050847457</v>
      </c>
      <c r="F43" s="73">
        <f t="shared" si="2"/>
        <v>3876101.694915254</v>
      </c>
      <c r="G43" s="83">
        <f>3294230.11-15.25</f>
        <v>3294214.86</v>
      </c>
      <c r="H43" s="88">
        <f t="shared" si="3"/>
        <v>581886.8349152543</v>
      </c>
      <c r="I43" s="10"/>
    </row>
    <row r="44" spans="1:9" ht="12.75">
      <c r="A44" s="91" t="s">
        <v>120</v>
      </c>
      <c r="B44" s="95">
        <v>540</v>
      </c>
      <c r="C44" s="73">
        <f t="shared" si="0"/>
        <v>4286.2962962962965</v>
      </c>
      <c r="D44" s="73">
        <v>2314600</v>
      </c>
      <c r="E44" s="73">
        <f t="shared" si="1"/>
        <v>353074.57627118647</v>
      </c>
      <c r="F44" s="73">
        <f t="shared" si="2"/>
        <v>1961525.4237288134</v>
      </c>
      <c r="G44" s="83">
        <v>1824129.9</v>
      </c>
      <c r="H44" s="88">
        <f t="shared" si="3"/>
        <v>137395.5237288135</v>
      </c>
      <c r="I44" s="10"/>
    </row>
    <row r="45" spans="1:9" ht="12.75">
      <c r="A45" s="91" t="s">
        <v>78</v>
      </c>
      <c r="B45" s="95">
        <v>5644.9</v>
      </c>
      <c r="C45" s="73">
        <f t="shared" si="0"/>
        <v>3753.072897659835</v>
      </c>
      <c r="D45" s="73">
        <v>21185721.2</v>
      </c>
      <c r="E45" s="73">
        <f t="shared" si="1"/>
        <v>3231720.183050847</v>
      </c>
      <c r="F45" s="73">
        <f t="shared" si="2"/>
        <v>17954001.01694915</v>
      </c>
      <c r="G45" s="83">
        <v>17545140.92</v>
      </c>
      <c r="H45" s="88">
        <f t="shared" si="3"/>
        <v>408860.0969491489</v>
      </c>
      <c r="I45" s="10"/>
    </row>
    <row r="46" spans="1:9" ht="12.75">
      <c r="A46" s="91" t="s">
        <v>121</v>
      </c>
      <c r="B46" s="95">
        <v>67</v>
      </c>
      <c r="C46" s="73">
        <f t="shared" si="0"/>
        <v>3850</v>
      </c>
      <c r="D46" s="73">
        <v>257950</v>
      </c>
      <c r="E46" s="73">
        <f t="shared" si="1"/>
        <v>39348.30508474576</v>
      </c>
      <c r="F46" s="73">
        <f t="shared" si="2"/>
        <v>218601.69491525425</v>
      </c>
      <c r="G46" s="83">
        <v>213060.44</v>
      </c>
      <c r="H46" s="88">
        <f t="shared" si="3"/>
        <v>5541.254915254249</v>
      </c>
      <c r="I46" s="10"/>
    </row>
    <row r="47" spans="1:9" ht="12.75">
      <c r="A47" s="91" t="s">
        <v>122</v>
      </c>
      <c r="B47" s="95">
        <v>1733.81</v>
      </c>
      <c r="C47" s="73">
        <f t="shared" si="0"/>
        <v>4207.821502932848</v>
      </c>
      <c r="D47" s="73">
        <v>7295563</v>
      </c>
      <c r="E47" s="73">
        <f t="shared" si="1"/>
        <v>1112882.4915254237</v>
      </c>
      <c r="F47" s="73">
        <f t="shared" si="2"/>
        <v>6182680.508474576</v>
      </c>
      <c r="G47" s="83">
        <v>5338009.95</v>
      </c>
      <c r="H47" s="88">
        <f t="shared" si="3"/>
        <v>844670.5584745761</v>
      </c>
      <c r="I47" s="10"/>
    </row>
    <row r="48" spans="1:9" ht="12.75">
      <c r="A48" s="91" t="s">
        <v>123</v>
      </c>
      <c r="B48" s="95">
        <v>105</v>
      </c>
      <c r="C48" s="73">
        <f aca="true" t="shared" si="4" ref="C48:C54">D48/B48</f>
        <v>3450</v>
      </c>
      <c r="D48" s="73">
        <v>362250</v>
      </c>
      <c r="E48" s="73">
        <f t="shared" si="1"/>
        <v>55258.47457627119</v>
      </c>
      <c r="F48" s="73">
        <f aca="true" t="shared" si="5" ref="F48:F54">D48-E48</f>
        <v>306991.5254237288</v>
      </c>
      <c r="G48" s="83">
        <v>300304.95</v>
      </c>
      <c r="H48" s="88">
        <f t="shared" si="3"/>
        <v>6686.575423728791</v>
      </c>
      <c r="I48" s="10"/>
    </row>
    <row r="49" spans="1:9" ht="12.75">
      <c r="A49" s="91" t="s">
        <v>124</v>
      </c>
      <c r="B49" s="95">
        <v>42</v>
      </c>
      <c r="C49" s="73">
        <f t="shared" si="4"/>
        <v>4500</v>
      </c>
      <c r="D49" s="73">
        <v>189000</v>
      </c>
      <c r="E49" s="73">
        <f t="shared" si="1"/>
        <v>28830.508474576272</v>
      </c>
      <c r="F49" s="73">
        <f t="shared" si="5"/>
        <v>160169.4915254237</v>
      </c>
      <c r="G49" s="83">
        <v>134190</v>
      </c>
      <c r="H49" s="88">
        <f t="shared" si="3"/>
        <v>25979.491525423713</v>
      </c>
      <c r="I49" s="10"/>
    </row>
    <row r="50" spans="1:9" ht="12.75">
      <c r="A50" s="91" t="s">
        <v>72</v>
      </c>
      <c r="B50" s="95">
        <v>3103.44</v>
      </c>
      <c r="C50" s="73">
        <f t="shared" si="4"/>
        <v>3955.0592890469925</v>
      </c>
      <c r="D50" s="73">
        <v>12274289.2</v>
      </c>
      <c r="E50" s="73">
        <f t="shared" si="1"/>
        <v>1872349.2</v>
      </c>
      <c r="F50" s="73">
        <f t="shared" si="5"/>
        <v>10401940</v>
      </c>
      <c r="G50" s="83">
        <v>9857385.01</v>
      </c>
      <c r="H50" s="88">
        <f t="shared" si="3"/>
        <v>544554.9900000002</v>
      </c>
      <c r="I50" s="10"/>
    </row>
    <row r="51" spans="1:9" ht="12.75">
      <c r="A51" s="91" t="s">
        <v>125</v>
      </c>
      <c r="B51" s="95">
        <v>749.66</v>
      </c>
      <c r="C51" s="73">
        <f t="shared" si="4"/>
        <v>4266.165995251181</v>
      </c>
      <c r="D51" s="73">
        <v>3198174</v>
      </c>
      <c r="E51" s="73">
        <f t="shared" si="1"/>
        <v>487857.0508474576</v>
      </c>
      <c r="F51" s="73">
        <f t="shared" si="5"/>
        <v>2710316.9491525423</v>
      </c>
      <c r="G51" s="83">
        <v>2388110.1</v>
      </c>
      <c r="H51" s="88">
        <f t="shared" si="3"/>
        <v>322206.8491525422</v>
      </c>
      <c r="I51" s="10"/>
    </row>
    <row r="52" spans="1:9" ht="12.75">
      <c r="A52" s="91" t="s">
        <v>126</v>
      </c>
      <c r="B52" s="95">
        <v>251.23</v>
      </c>
      <c r="C52" s="73">
        <f t="shared" si="4"/>
        <v>4284.090275842854</v>
      </c>
      <c r="D52" s="73">
        <v>1076292</v>
      </c>
      <c r="E52" s="73">
        <f t="shared" si="1"/>
        <v>164180.13559322033</v>
      </c>
      <c r="F52" s="73">
        <f t="shared" si="5"/>
        <v>912111.8644067796</v>
      </c>
      <c r="G52" s="83">
        <v>821626.73</v>
      </c>
      <c r="H52" s="88">
        <f t="shared" si="3"/>
        <v>90485.13440677966</v>
      </c>
      <c r="I52" s="10"/>
    </row>
    <row r="53" spans="1:9" ht="12.75">
      <c r="A53" s="91" t="s">
        <v>127</v>
      </c>
      <c r="B53" s="95">
        <v>345</v>
      </c>
      <c r="C53" s="73">
        <f t="shared" si="4"/>
        <v>3868</v>
      </c>
      <c r="D53" s="73">
        <v>1334460</v>
      </c>
      <c r="E53" s="73">
        <f t="shared" si="1"/>
        <v>203561.69491525425</v>
      </c>
      <c r="F53" s="73">
        <f t="shared" si="5"/>
        <v>1130898.3050847459</v>
      </c>
      <c r="G53" s="83">
        <v>1085124.68</v>
      </c>
      <c r="H53" s="88">
        <f t="shared" si="3"/>
        <v>45773.62508474593</v>
      </c>
      <c r="I53" s="10"/>
    </row>
    <row r="54" spans="1:9" ht="13.5" thickBot="1">
      <c r="A54" s="91" t="s">
        <v>102</v>
      </c>
      <c r="B54" s="95">
        <v>6155.61</v>
      </c>
      <c r="C54" s="73">
        <f t="shared" si="4"/>
        <v>4177.249045992193</v>
      </c>
      <c r="D54" s="73">
        <v>25713516</v>
      </c>
      <c r="E54" s="73">
        <f t="shared" si="1"/>
        <v>3922400.745762712</v>
      </c>
      <c r="F54" s="73">
        <f t="shared" si="5"/>
        <v>21791115.254237287</v>
      </c>
      <c r="G54" s="83">
        <v>19482643.93</v>
      </c>
      <c r="H54" s="88">
        <f t="shared" si="3"/>
        <v>2308471.324237287</v>
      </c>
      <c r="I54" s="10"/>
    </row>
    <row r="55" spans="1:9" ht="14.25" customHeight="1" thickBot="1">
      <c r="A55" s="8" t="s">
        <v>7</v>
      </c>
      <c r="B55" s="9">
        <f>SUM(B22:B54)</f>
        <v>38797.84</v>
      </c>
      <c r="C55" s="9"/>
      <c r="D55" s="9">
        <f>SUM(D22:D54)</f>
        <v>158335786.38</v>
      </c>
      <c r="E55" s="9">
        <f>SUM(E22:E54)</f>
        <v>24152916.56644068</v>
      </c>
      <c r="F55" s="9">
        <f>SUM(F22:F54)</f>
        <v>134182869.81355932</v>
      </c>
      <c r="G55" s="85">
        <f>SUM(G22:G54)</f>
        <v>122695847.53</v>
      </c>
      <c r="H55" s="89">
        <f>SUM(H22:H54)</f>
        <v>11487022.283559315</v>
      </c>
      <c r="I55" s="10"/>
    </row>
    <row r="56" spans="1:9" ht="12.75">
      <c r="A56" s="81" t="s">
        <v>130</v>
      </c>
      <c r="B56" s="82"/>
      <c r="C56" s="82"/>
      <c r="D56" s="82">
        <v>30030</v>
      </c>
      <c r="E56" s="82">
        <f>D56*18/118</f>
        <v>4580.847457627118</v>
      </c>
      <c r="F56" s="82">
        <f>D56-E56</f>
        <v>25449.15254237288</v>
      </c>
      <c r="G56" s="86"/>
      <c r="H56" s="87">
        <f>F56-G56</f>
        <v>25449.15254237288</v>
      </c>
      <c r="I56" s="10"/>
    </row>
    <row r="57" spans="1:9" ht="12.75">
      <c r="A57" s="58" t="s">
        <v>131</v>
      </c>
      <c r="B57" s="73"/>
      <c r="C57" s="73"/>
      <c r="D57" s="73">
        <v>1136352</v>
      </c>
      <c r="E57" s="73">
        <f>D57*18/118</f>
        <v>173341.83050847458</v>
      </c>
      <c r="F57" s="73">
        <f>D57-E57</f>
        <v>963010.1694915254</v>
      </c>
      <c r="G57" s="73"/>
      <c r="H57" s="73">
        <f>F57-G57</f>
        <v>963010.1694915254</v>
      </c>
      <c r="I57" s="10"/>
    </row>
    <row r="58" spans="1:9" ht="12.75">
      <c r="A58" s="58" t="s">
        <v>133</v>
      </c>
      <c r="B58" s="73"/>
      <c r="C58" s="73"/>
      <c r="D58" s="73">
        <v>34945</v>
      </c>
      <c r="E58" s="73">
        <f>D58*18/118</f>
        <v>5330.593220338983</v>
      </c>
      <c r="F58" s="73">
        <f>D58-E58</f>
        <v>29614.406779661018</v>
      </c>
      <c r="G58" s="73"/>
      <c r="H58" s="73">
        <f>F58-G58</f>
        <v>29614.406779661018</v>
      </c>
      <c r="I58" s="10"/>
    </row>
    <row r="59" spans="1:9" ht="23.25">
      <c r="A59" s="58" t="s">
        <v>134</v>
      </c>
      <c r="B59" s="73"/>
      <c r="C59" s="73"/>
      <c r="D59" s="73">
        <f>524244+1199601</f>
        <v>1723845</v>
      </c>
      <c r="E59" s="73">
        <f>D59*18/118</f>
        <v>262959.406779661</v>
      </c>
      <c r="F59" s="73">
        <f>D59-E59</f>
        <v>1460885.593220339</v>
      </c>
      <c r="G59" s="73"/>
      <c r="H59" s="73">
        <f>F59-G59</f>
        <v>1460885.593220339</v>
      </c>
      <c r="I59" s="10"/>
    </row>
    <row r="60" spans="1:9" ht="13.5" thickBot="1">
      <c r="A60" s="58" t="s">
        <v>136</v>
      </c>
      <c r="B60" s="107"/>
      <c r="C60" s="107"/>
      <c r="D60" s="107">
        <v>6415</v>
      </c>
      <c r="E60" s="107">
        <f>D60*18/118</f>
        <v>978.5593220338983</v>
      </c>
      <c r="F60" s="107">
        <f>D60-E60</f>
        <v>5436.440677966102</v>
      </c>
      <c r="G60" s="108"/>
      <c r="H60" s="109">
        <f>F60-G60</f>
        <v>5436.440677966102</v>
      </c>
      <c r="I60" s="10"/>
    </row>
    <row r="61" spans="1:9" ht="13.5" thickBot="1">
      <c r="A61" s="8" t="s">
        <v>88</v>
      </c>
      <c r="B61" s="9"/>
      <c r="C61" s="9"/>
      <c r="D61" s="9">
        <f>SUM(D56:D60)</f>
        <v>2931587</v>
      </c>
      <c r="E61" s="9">
        <f>SUM(E56:E60)</f>
        <v>447191.23728813557</v>
      </c>
      <c r="F61" s="9">
        <f>SUM(F56:F60)</f>
        <v>2484395.762711864</v>
      </c>
      <c r="G61" s="9">
        <f>SUM(G56:G60)</f>
        <v>0</v>
      </c>
      <c r="H61" s="9">
        <f>SUM(H56:H60)</f>
        <v>2484395.762711864</v>
      </c>
      <c r="I61" s="10"/>
    </row>
    <row r="62" spans="1:9" ht="12.75">
      <c r="A62" s="81" t="s">
        <v>132</v>
      </c>
      <c r="B62" s="82">
        <v>15359.43</v>
      </c>
      <c r="C62" s="82">
        <f>D62/B62</f>
        <v>300</v>
      </c>
      <c r="D62" s="82">
        <v>4607829</v>
      </c>
      <c r="E62" s="82">
        <f>D62*18/118</f>
        <v>702889.1694915254</v>
      </c>
      <c r="F62" s="82">
        <f>D62-E62</f>
        <v>3904939.8305084747</v>
      </c>
      <c r="G62" s="86"/>
      <c r="H62" s="87">
        <f>F62-G62</f>
        <v>3904939.8305084747</v>
      </c>
      <c r="I62" s="10"/>
    </row>
    <row r="63" spans="1:9" ht="16.5" customHeight="1" thickBot="1">
      <c r="A63" s="58" t="s">
        <v>135</v>
      </c>
      <c r="B63" s="73">
        <v>27615.75</v>
      </c>
      <c r="C63" s="73">
        <f>D63/B63</f>
        <v>300</v>
      </c>
      <c r="D63" s="73">
        <f>3832137+4452588</f>
        <v>8284725</v>
      </c>
      <c r="E63" s="73">
        <f>D63*18/118</f>
        <v>1263771.6101694915</v>
      </c>
      <c r="F63" s="73">
        <f>D63-E63</f>
        <v>7020953.389830508</v>
      </c>
      <c r="G63" s="73"/>
      <c r="H63" s="73">
        <f>F63-G63</f>
        <v>7020953.389830508</v>
      </c>
      <c r="I63" s="10"/>
    </row>
    <row r="64" spans="1:9" ht="13.5" thickBot="1">
      <c r="A64" s="8" t="s">
        <v>88</v>
      </c>
      <c r="B64" s="9"/>
      <c r="C64" s="9"/>
      <c r="D64" s="9">
        <f>SUM(D62:D63)</f>
        <v>12892554</v>
      </c>
      <c r="E64" s="9">
        <f>SUM(E62:E63)</f>
        <v>1966660.779661017</v>
      </c>
      <c r="F64" s="9">
        <f>SUM(F62:F63)</f>
        <v>10925893.220338983</v>
      </c>
      <c r="G64" s="9">
        <f>SUM(G62:G63)</f>
        <v>0</v>
      </c>
      <c r="H64" s="9">
        <f>SUM(H62:H63)</f>
        <v>10925893.220338983</v>
      </c>
      <c r="I64" s="10"/>
    </row>
    <row r="65" spans="1:8" ht="13.5" thickBot="1">
      <c r="A65" s="130" t="s">
        <v>98</v>
      </c>
      <c r="B65" s="131"/>
      <c r="D65" s="10">
        <f>D55+D61+D64</f>
        <v>174159927.38</v>
      </c>
      <c r="E65" s="10">
        <f>E55+E61+E64</f>
        <v>26566768.583389834</v>
      </c>
      <c r="F65" s="10">
        <f>F55+F61+F64</f>
        <v>147593158.79661015</v>
      </c>
      <c r="G65" s="10"/>
      <c r="H65" s="10"/>
    </row>
    <row r="66" spans="1:2" ht="12.75">
      <c r="A66" s="20" t="s">
        <v>143</v>
      </c>
      <c r="B66" s="21"/>
    </row>
    <row r="67" spans="1:2" ht="12.75">
      <c r="A67" s="15" t="s">
        <v>144</v>
      </c>
      <c r="B67" s="16">
        <f>85103.32*3</f>
        <v>255309.96000000002</v>
      </c>
    </row>
    <row r="68" spans="1:2" ht="12.75">
      <c r="A68" s="15" t="s">
        <v>145</v>
      </c>
      <c r="B68" s="16">
        <f>(19491.53+69915.25+19067.8)*3</f>
        <v>325423.74</v>
      </c>
    </row>
    <row r="69" spans="1:2" ht="12.75">
      <c r="A69" s="15" t="s">
        <v>146</v>
      </c>
      <c r="B69" s="16">
        <f>(9180.79+9180.79+9195.51+5513.77)*3</f>
        <v>99212.58</v>
      </c>
    </row>
    <row r="70" spans="1:2" ht="12.75">
      <c r="A70" s="15" t="s">
        <v>147</v>
      </c>
      <c r="B70" s="16">
        <f>2169.09*3</f>
        <v>6507.27</v>
      </c>
    </row>
    <row r="71" spans="1:2" ht="12.75">
      <c r="A71" s="15" t="s">
        <v>148</v>
      </c>
      <c r="B71" s="18">
        <f>79909.33*3</f>
        <v>239727.99</v>
      </c>
    </row>
    <row r="72" spans="1:2" ht="12.75">
      <c r="A72" s="15" t="s">
        <v>23</v>
      </c>
      <c r="B72" s="16">
        <v>69000</v>
      </c>
    </row>
    <row r="73" spans="1:2" ht="12.75">
      <c r="A73" s="15" t="s">
        <v>24</v>
      </c>
      <c r="B73" s="16">
        <v>39344.85</v>
      </c>
    </row>
    <row r="74" spans="1:2" ht="12.75">
      <c r="A74" s="17" t="s">
        <v>25</v>
      </c>
      <c r="B74" s="18">
        <f>220+626.44</f>
        <v>846.44</v>
      </c>
    </row>
    <row r="75" spans="1:2" ht="12.75" hidden="1">
      <c r="A75" s="19" t="s">
        <v>26</v>
      </c>
      <c r="B75" s="18"/>
    </row>
    <row r="76" spans="1:2" ht="12.75" hidden="1">
      <c r="A76" s="15" t="s">
        <v>27</v>
      </c>
      <c r="B76" s="16"/>
    </row>
    <row r="77" spans="1:2" ht="12.75" hidden="1">
      <c r="A77" s="15" t="s">
        <v>28</v>
      </c>
      <c r="B77" s="16"/>
    </row>
    <row r="78" spans="1:3" ht="12.75">
      <c r="A78" s="15" t="s">
        <v>29</v>
      </c>
      <c r="B78" s="16">
        <v>3000</v>
      </c>
      <c r="C78" s="10"/>
    </row>
    <row r="79" spans="1:2" ht="12.75">
      <c r="A79" s="15" t="s">
        <v>20</v>
      </c>
      <c r="B79" s="16">
        <v>234000</v>
      </c>
    </row>
    <row r="80" spans="1:2" ht="12.75">
      <c r="A80" s="15" t="s">
        <v>30</v>
      </c>
      <c r="B80" s="16">
        <v>7954</v>
      </c>
    </row>
    <row r="81" spans="1:2" ht="12.75">
      <c r="A81" s="15" t="s">
        <v>19</v>
      </c>
      <c r="B81" s="16">
        <v>780000</v>
      </c>
    </row>
    <row r="82" spans="1:2" ht="12.75">
      <c r="A82" s="15" t="s">
        <v>137</v>
      </c>
      <c r="B82" s="16">
        <v>100405.33</v>
      </c>
    </row>
    <row r="83" spans="1:2" ht="12.75">
      <c r="A83" s="15" t="s">
        <v>138</v>
      </c>
      <c r="B83" s="16">
        <v>1454.92</v>
      </c>
    </row>
    <row r="84" spans="1:2" ht="12.75">
      <c r="A84" s="15" t="s">
        <v>139</v>
      </c>
      <c r="B84" s="16">
        <v>4958.71</v>
      </c>
    </row>
    <row r="85" spans="1:2" ht="12.75">
      <c r="A85" s="15" t="s">
        <v>140</v>
      </c>
      <c r="B85" s="16">
        <v>21000</v>
      </c>
    </row>
    <row r="86" spans="1:4" ht="12.75">
      <c r="A86" s="15" t="s">
        <v>149</v>
      </c>
      <c r="B86" s="16">
        <f>1500+2810+34819.65</f>
        <v>39129.65</v>
      </c>
      <c r="C86" s="10"/>
      <c r="D86" s="10"/>
    </row>
    <row r="87" spans="1:2" ht="12.75">
      <c r="A87" s="15" t="s">
        <v>150</v>
      </c>
      <c r="B87" s="16">
        <v>3310</v>
      </c>
    </row>
    <row r="88" spans="1:2" ht="12.75" hidden="1">
      <c r="A88" s="15" t="s">
        <v>31</v>
      </c>
      <c r="B88" s="16"/>
    </row>
    <row r="89" spans="1:2" ht="12.75">
      <c r="A89" s="19" t="s">
        <v>142</v>
      </c>
      <c r="B89" s="18">
        <v>20250.63</v>
      </c>
    </row>
    <row r="90" spans="1:2" ht="12.75">
      <c r="A90" s="17" t="s">
        <v>151</v>
      </c>
      <c r="B90" s="18">
        <v>3300</v>
      </c>
    </row>
    <row r="91" spans="1:2" ht="12.75">
      <c r="A91" s="15" t="s">
        <v>32</v>
      </c>
      <c r="B91" s="16">
        <v>1204288.98</v>
      </c>
    </row>
    <row r="92" spans="1:2" ht="12.75" hidden="1">
      <c r="A92" s="15" t="s">
        <v>33</v>
      </c>
      <c r="B92" s="16"/>
    </row>
    <row r="93" spans="1:2" ht="12.75" hidden="1">
      <c r="A93" s="15" t="s">
        <v>34</v>
      </c>
      <c r="B93" s="16"/>
    </row>
    <row r="94" spans="1:2" ht="12.75">
      <c r="A94" s="15" t="s">
        <v>141</v>
      </c>
      <c r="B94" s="16">
        <f>893411.62+802.74</f>
        <v>894214.36</v>
      </c>
    </row>
    <row r="95" spans="1:2" ht="12.75" hidden="1">
      <c r="A95" s="15" t="s">
        <v>35</v>
      </c>
      <c r="B95" s="16"/>
    </row>
    <row r="96" spans="1:2" ht="12" customHeight="1" hidden="1">
      <c r="A96" s="17" t="s">
        <v>93</v>
      </c>
      <c r="B96" s="18"/>
    </row>
    <row r="97" spans="1:2" ht="12" customHeight="1">
      <c r="A97" s="17" t="s">
        <v>36</v>
      </c>
      <c r="B97" s="18">
        <f>141664.42+50333.71+12898.44</f>
        <v>204896.57</v>
      </c>
    </row>
    <row r="98" spans="1:2" ht="12.75" hidden="1">
      <c r="A98" s="19" t="s">
        <v>37</v>
      </c>
      <c r="B98" s="18"/>
    </row>
    <row r="99" spans="1:2" ht="13.5" customHeight="1">
      <c r="A99" s="17" t="s">
        <v>38</v>
      </c>
      <c r="B99" s="18">
        <f>9061864.74+30381.36</f>
        <v>9092246.1</v>
      </c>
    </row>
    <row r="100" spans="1:3" ht="11.25" customHeight="1" hidden="1">
      <c r="A100" s="15" t="s">
        <v>39</v>
      </c>
      <c r="B100" s="16"/>
      <c r="C100" s="10"/>
    </row>
    <row r="101" spans="1:2" ht="12" customHeight="1">
      <c r="A101" s="15" t="s">
        <v>40</v>
      </c>
      <c r="B101" s="16">
        <v>25500.44</v>
      </c>
    </row>
    <row r="102" spans="1:3" ht="12.75">
      <c r="A102" s="17" t="s">
        <v>41</v>
      </c>
      <c r="B102" s="16">
        <f>8313.89+444.93</f>
        <v>8758.82</v>
      </c>
      <c r="C102" s="10"/>
    </row>
    <row r="103" spans="1:2" ht="12.75" hidden="1">
      <c r="A103" s="17" t="s">
        <v>42</v>
      </c>
      <c r="B103" s="16"/>
    </row>
    <row r="104" spans="1:3" ht="12.75">
      <c r="A104" s="100" t="s">
        <v>43</v>
      </c>
      <c r="B104" s="99">
        <f>210131.16+138754.1</f>
        <v>348885.26</v>
      </c>
      <c r="C104" s="10"/>
    </row>
    <row r="105" spans="1:2" ht="13.5" thickBot="1">
      <c r="A105" s="105" t="s">
        <v>44</v>
      </c>
      <c r="B105" s="106">
        <f>21354.66+16316</f>
        <v>37670.66</v>
      </c>
    </row>
    <row r="106" spans="1:4" ht="13.5" hidden="1" thickBot="1">
      <c r="A106" s="17" t="s">
        <v>45</v>
      </c>
      <c r="B106" s="106"/>
      <c r="D106" s="10"/>
    </row>
    <row r="107" spans="1:2" ht="13.5" thickBot="1">
      <c r="A107" s="30" t="s">
        <v>47</v>
      </c>
      <c r="B107" s="31">
        <f>SUM(B67:B106)</f>
        <v>14070597.259999998</v>
      </c>
    </row>
    <row r="109" spans="1:3" ht="12.75">
      <c r="A109" s="22" t="s">
        <v>48</v>
      </c>
      <c r="B109" s="23">
        <f>H55+H61+H64-B107</f>
        <v>10826714.006610163</v>
      </c>
      <c r="C109" s="10"/>
    </row>
    <row r="110" spans="1:2" ht="12.75">
      <c r="A110" s="22" t="s">
        <v>49</v>
      </c>
      <c r="B110" s="23">
        <f>B109/100*20</f>
        <v>2165342.8013220327</v>
      </c>
    </row>
    <row r="111" spans="1:2" ht="12.75">
      <c r="A111" s="24"/>
      <c r="B111" s="23"/>
    </row>
    <row r="112" spans="1:3" ht="26.25">
      <c r="A112" s="25" t="s">
        <v>50</v>
      </c>
      <c r="B112" s="23">
        <f>B109-B110</f>
        <v>8661371.20528813</v>
      </c>
      <c r="C112" s="10"/>
    </row>
    <row r="113" spans="1:2" ht="12.75">
      <c r="A113" s="26" t="s">
        <v>51</v>
      </c>
      <c r="B113" s="13">
        <v>270</v>
      </c>
    </row>
    <row r="114" spans="1:3" ht="12.75">
      <c r="A114" s="26" t="s">
        <v>46</v>
      </c>
      <c r="B114" s="13">
        <f>12216.15+19732.78</f>
        <v>31948.93</v>
      </c>
      <c r="C114" s="10"/>
    </row>
    <row r="115" spans="1:2" ht="12.75">
      <c r="A115" s="22" t="s">
        <v>52</v>
      </c>
      <c r="B115" s="27">
        <f>SUM(B113:B114)</f>
        <v>32218.93</v>
      </c>
    </row>
    <row r="116" spans="1:2" ht="13.5" thickBot="1">
      <c r="A116" s="28"/>
      <c r="B116" s="29"/>
    </row>
    <row r="117" spans="1:2" ht="13.5" thickBot="1">
      <c r="A117" s="74" t="s">
        <v>53</v>
      </c>
      <c r="B117" s="75">
        <f>B112-B115</f>
        <v>8629152.275288131</v>
      </c>
    </row>
    <row r="118" spans="1:2" ht="13.5" thickBot="1">
      <c r="A118" s="33" t="s">
        <v>54</v>
      </c>
      <c r="B118" s="34">
        <f>B117/100*9</f>
        <v>776623.7047759318</v>
      </c>
    </row>
    <row r="119" spans="1:2" ht="13.5" hidden="1" thickBot="1">
      <c r="A119" s="28"/>
      <c r="B119" s="29"/>
    </row>
    <row r="120" spans="1:2" ht="13.5" thickBot="1">
      <c r="A120" s="30" t="s">
        <v>55</v>
      </c>
      <c r="B120" s="31">
        <f>B117-B118</f>
        <v>7852528.5705122</v>
      </c>
    </row>
    <row r="121" spans="1:8" ht="12.75">
      <c r="A121" s="38"/>
      <c r="B121" s="38"/>
      <c r="C121" s="38"/>
      <c r="D121" s="38"/>
      <c r="E121" s="38"/>
      <c r="F121" s="54"/>
      <c r="G121" s="55"/>
      <c r="H121" s="38"/>
    </row>
    <row r="122" ht="13.5" hidden="1" thickBot="1">
      <c r="A122" s="39" t="s">
        <v>99</v>
      </c>
    </row>
    <row r="123" spans="1:8" ht="26.25" hidden="1">
      <c r="A123" s="40" t="s">
        <v>57</v>
      </c>
      <c r="B123" s="41" t="s">
        <v>58</v>
      </c>
      <c r="C123" s="42" t="s">
        <v>59</v>
      </c>
      <c r="D123" s="42" t="s">
        <v>13</v>
      </c>
      <c r="E123" s="42" t="s">
        <v>60</v>
      </c>
      <c r="F123" s="42" t="s">
        <v>14</v>
      </c>
      <c r="G123" s="42" t="s">
        <v>61</v>
      </c>
      <c r="H123" s="43" t="s">
        <v>15</v>
      </c>
    </row>
    <row r="124" spans="1:8" ht="12.75" hidden="1">
      <c r="A124" s="44" t="s">
        <v>80</v>
      </c>
      <c r="B124" s="45"/>
      <c r="C124" s="46" t="e">
        <f aca="true" t="shared" si="6" ref="C124:C137">D124/B124</f>
        <v>#DIV/0!</v>
      </c>
      <c r="D124" s="45"/>
      <c r="E124" s="46" t="e">
        <f aca="true" t="shared" si="7" ref="E124:E137">F124/B124</f>
        <v>#DIV/0!</v>
      </c>
      <c r="F124" s="45"/>
      <c r="G124" s="46" t="e">
        <f aca="true" t="shared" si="8" ref="G124:G137">C124-E124</f>
        <v>#DIV/0!</v>
      </c>
      <c r="H124" s="47">
        <f aca="true" t="shared" si="9" ref="H124:H137">D124-F124</f>
        <v>0</v>
      </c>
    </row>
    <row r="125" spans="1:8" ht="12.75" hidden="1">
      <c r="A125" s="44" t="s">
        <v>3</v>
      </c>
      <c r="B125" s="45">
        <v>147.64</v>
      </c>
      <c r="C125" s="46">
        <f t="shared" si="6"/>
        <v>4120.321796261177</v>
      </c>
      <c r="D125" s="45">
        <v>608324.31</v>
      </c>
      <c r="E125" s="46">
        <f t="shared" si="7"/>
        <v>3781.334800866974</v>
      </c>
      <c r="F125" s="45">
        <v>558276.27</v>
      </c>
      <c r="G125" s="46">
        <f t="shared" si="8"/>
        <v>338.98699539420295</v>
      </c>
      <c r="H125" s="47">
        <f t="shared" si="9"/>
        <v>50048.04000000004</v>
      </c>
    </row>
    <row r="126" spans="1:8" ht="12.75" hidden="1">
      <c r="A126" s="44" t="s">
        <v>92</v>
      </c>
      <c r="B126" s="45">
        <v>19.36</v>
      </c>
      <c r="C126" s="46">
        <f t="shared" si="6"/>
        <v>3960.460227272727</v>
      </c>
      <c r="D126" s="45">
        <v>76674.51</v>
      </c>
      <c r="E126" s="46">
        <f t="shared" si="7"/>
        <v>3177.965909090909</v>
      </c>
      <c r="F126" s="45">
        <v>61525.42</v>
      </c>
      <c r="G126" s="46">
        <f t="shared" si="8"/>
        <v>782.494318181818</v>
      </c>
      <c r="H126" s="47">
        <f t="shared" si="9"/>
        <v>15149.089999999997</v>
      </c>
    </row>
    <row r="127" spans="1:8" ht="12.75" hidden="1">
      <c r="A127" s="44" t="s">
        <v>4</v>
      </c>
      <c r="B127" s="45">
        <v>2836.6</v>
      </c>
      <c r="C127" s="46">
        <f t="shared" si="6"/>
        <v>3459.771874779666</v>
      </c>
      <c r="D127" s="45">
        <v>9813988.9</v>
      </c>
      <c r="E127" s="46">
        <f t="shared" si="7"/>
        <v>3069.481604738067</v>
      </c>
      <c r="F127" s="45">
        <v>8706891.52</v>
      </c>
      <c r="G127" s="46">
        <f t="shared" si="8"/>
        <v>390.29027004159934</v>
      </c>
      <c r="H127" s="47">
        <f t="shared" si="9"/>
        <v>1107097.3800000008</v>
      </c>
    </row>
    <row r="128" spans="1:8" ht="12.75" hidden="1">
      <c r="A128" s="44" t="s">
        <v>85</v>
      </c>
      <c r="B128" s="45">
        <v>86.4</v>
      </c>
      <c r="C128" s="46">
        <f t="shared" si="6"/>
        <v>3983.0499999999997</v>
      </c>
      <c r="D128" s="45">
        <v>344135.52</v>
      </c>
      <c r="E128" s="46">
        <f t="shared" si="7"/>
        <v>3728.813657407407</v>
      </c>
      <c r="F128" s="45">
        <v>322169.5</v>
      </c>
      <c r="G128" s="46">
        <f t="shared" si="8"/>
        <v>254.2363425925928</v>
      </c>
      <c r="H128" s="47">
        <f t="shared" si="9"/>
        <v>21966.02000000002</v>
      </c>
    </row>
    <row r="129" spans="1:8" ht="12.75" hidden="1">
      <c r="A129" s="44" t="s">
        <v>5</v>
      </c>
      <c r="B129" s="45">
        <v>6359.7</v>
      </c>
      <c r="C129" s="46">
        <f t="shared" si="6"/>
        <v>3441.4767661996634</v>
      </c>
      <c r="D129" s="45">
        <v>21886759.79</v>
      </c>
      <c r="E129" s="46">
        <f t="shared" si="7"/>
        <v>3065.4319338962528</v>
      </c>
      <c r="F129" s="45">
        <v>19495227.47</v>
      </c>
      <c r="G129" s="46">
        <f t="shared" si="8"/>
        <v>376.04483230341066</v>
      </c>
      <c r="H129" s="47">
        <f t="shared" si="9"/>
        <v>2391532.3200000003</v>
      </c>
    </row>
    <row r="130" spans="1:8" ht="12.75" hidden="1">
      <c r="A130" s="44" t="s">
        <v>86</v>
      </c>
      <c r="B130" s="45">
        <v>315</v>
      </c>
      <c r="C130" s="46">
        <f t="shared" si="6"/>
        <v>3016.946</v>
      </c>
      <c r="D130" s="45">
        <v>950337.99</v>
      </c>
      <c r="E130" s="46">
        <f t="shared" si="7"/>
        <v>3000.0000317460317</v>
      </c>
      <c r="F130" s="45">
        <v>945000.01</v>
      </c>
      <c r="G130" s="46">
        <f t="shared" si="8"/>
        <v>16.945968253968203</v>
      </c>
      <c r="H130" s="47">
        <f t="shared" si="9"/>
        <v>5337.979999999981</v>
      </c>
    </row>
    <row r="131" spans="1:8" ht="12.75" hidden="1">
      <c r="A131" s="44" t="s">
        <v>77</v>
      </c>
      <c r="B131" s="45">
        <f>3788.06-66-62</f>
        <v>3660.06</v>
      </c>
      <c r="C131" s="46">
        <f t="shared" si="6"/>
        <v>3308.8992475533187</v>
      </c>
      <c r="D131" s="45">
        <f>12525142.9-213661.14-200711.98</f>
        <v>12110769.78</v>
      </c>
      <c r="E131" s="46">
        <f t="shared" si="7"/>
        <v>3063.810563214811</v>
      </c>
      <c r="F131" s="45">
        <f>11600984.73-199677.97-187576.27</f>
        <v>11213730.49</v>
      </c>
      <c r="G131" s="46">
        <f t="shared" si="8"/>
        <v>245.08868433850785</v>
      </c>
      <c r="H131" s="47">
        <f t="shared" si="9"/>
        <v>897039.2899999991</v>
      </c>
    </row>
    <row r="132" spans="1:8" ht="12.75" hidden="1">
      <c r="A132" s="48" t="s">
        <v>6</v>
      </c>
      <c r="B132" s="49">
        <v>1553.1</v>
      </c>
      <c r="C132" s="46">
        <f t="shared" si="6"/>
        <v>3305.080001287747</v>
      </c>
      <c r="D132" s="49">
        <v>5133119.75</v>
      </c>
      <c r="E132" s="46">
        <f t="shared" si="7"/>
        <v>3033.019245380208</v>
      </c>
      <c r="F132" s="49">
        <v>4710582.19</v>
      </c>
      <c r="G132" s="46">
        <f t="shared" si="8"/>
        <v>272.06075590753926</v>
      </c>
      <c r="H132" s="47">
        <f t="shared" si="9"/>
        <v>422537.5599999996</v>
      </c>
    </row>
    <row r="133" spans="1:8" ht="12.75" hidden="1">
      <c r="A133" s="48" t="s">
        <v>81</v>
      </c>
      <c r="B133" s="49"/>
      <c r="C133" s="50" t="e">
        <f t="shared" si="6"/>
        <v>#DIV/0!</v>
      </c>
      <c r="D133" s="49"/>
      <c r="E133" s="50" t="e">
        <f t="shared" si="7"/>
        <v>#DIV/0!</v>
      </c>
      <c r="F133" s="49"/>
      <c r="G133" s="50" t="e">
        <f t="shared" si="8"/>
        <v>#DIV/0!</v>
      </c>
      <c r="H133" s="51">
        <f t="shared" si="9"/>
        <v>0</v>
      </c>
    </row>
    <row r="134" spans="1:8" ht="12.75" hidden="1">
      <c r="A134" s="48" t="s">
        <v>79</v>
      </c>
      <c r="B134" s="49"/>
      <c r="C134" s="50" t="e">
        <f t="shared" si="6"/>
        <v>#DIV/0!</v>
      </c>
      <c r="D134" s="49"/>
      <c r="E134" s="50" t="e">
        <f t="shared" si="7"/>
        <v>#DIV/0!</v>
      </c>
      <c r="F134" s="49"/>
      <c r="G134" s="50" t="e">
        <f t="shared" si="8"/>
        <v>#DIV/0!</v>
      </c>
      <c r="H134" s="51">
        <f t="shared" si="9"/>
        <v>0</v>
      </c>
    </row>
    <row r="135" spans="1:8" ht="12.75" hidden="1">
      <c r="A135" s="44" t="s">
        <v>78</v>
      </c>
      <c r="B135" s="45"/>
      <c r="C135" s="46" t="e">
        <f t="shared" si="6"/>
        <v>#DIV/0!</v>
      </c>
      <c r="D135" s="45"/>
      <c r="E135" s="46" t="e">
        <f t="shared" si="7"/>
        <v>#DIV/0!</v>
      </c>
      <c r="F135" s="45"/>
      <c r="G135" s="46" t="e">
        <f t="shared" si="8"/>
        <v>#DIV/0!</v>
      </c>
      <c r="H135" s="47">
        <f t="shared" si="9"/>
        <v>0</v>
      </c>
    </row>
    <row r="136" spans="1:8" ht="12.75" hidden="1">
      <c r="A136" s="44" t="s">
        <v>72</v>
      </c>
      <c r="B136" s="45">
        <v>612</v>
      </c>
      <c r="C136" s="46">
        <f t="shared" si="6"/>
        <v>3152.5433333333335</v>
      </c>
      <c r="D136" s="45">
        <v>1929356.52</v>
      </c>
      <c r="E136" s="46">
        <f t="shared" si="7"/>
        <v>3050.8475</v>
      </c>
      <c r="F136" s="45">
        <v>1867118.67</v>
      </c>
      <c r="G136" s="46">
        <f t="shared" si="8"/>
        <v>101.69583333333367</v>
      </c>
      <c r="H136" s="47">
        <f t="shared" si="9"/>
        <v>62237.85000000009</v>
      </c>
    </row>
    <row r="137" spans="1:8" ht="13.5" hidden="1" thickBot="1">
      <c r="A137" s="44" t="s">
        <v>16</v>
      </c>
      <c r="B137" s="45">
        <v>207.4</v>
      </c>
      <c r="C137" s="46">
        <f t="shared" si="6"/>
        <v>3449.1499999999996</v>
      </c>
      <c r="D137" s="45">
        <v>715353.71</v>
      </c>
      <c r="E137" s="46">
        <f t="shared" si="7"/>
        <v>3194.9152362584377</v>
      </c>
      <c r="F137" s="45">
        <v>662625.42</v>
      </c>
      <c r="G137" s="46">
        <f t="shared" si="8"/>
        <v>254.2347637415619</v>
      </c>
      <c r="H137" s="47">
        <f t="shared" si="9"/>
        <v>52728.28999999992</v>
      </c>
    </row>
    <row r="138" spans="1:8" ht="13.5" hidden="1" thickBot="1">
      <c r="A138" s="52" t="s">
        <v>17</v>
      </c>
      <c r="B138" s="53">
        <f>SUM(B124:B137)</f>
        <v>15797.26</v>
      </c>
      <c r="C138" s="53"/>
      <c r="D138" s="53">
        <f>SUM(D124:D137)</f>
        <v>53568820.78000001</v>
      </c>
      <c r="E138" s="53"/>
      <c r="F138" s="53">
        <f>SUM(F124:F137)</f>
        <v>48543146.96</v>
      </c>
      <c r="G138" s="53"/>
      <c r="H138" s="53">
        <f>SUM(H124:H137)</f>
        <v>5025673.820000001</v>
      </c>
    </row>
    <row r="139" ht="12.75">
      <c r="G139" s="10"/>
    </row>
    <row r="140" spans="2:8" ht="12.75">
      <c r="B140" s="10"/>
      <c r="D140" s="10"/>
      <c r="E140" s="10"/>
      <c r="F140" s="10"/>
      <c r="H140" s="10"/>
    </row>
  </sheetData>
  <sheetProtection/>
  <mergeCells count="16">
    <mergeCell ref="F20:F21"/>
    <mergeCell ref="A3:B3"/>
    <mergeCell ref="A19:B19"/>
    <mergeCell ref="G20:G21"/>
    <mergeCell ref="H20:H21"/>
    <mergeCell ref="B20:B21"/>
    <mergeCell ref="C20:C21"/>
    <mergeCell ref="D20:D21"/>
    <mergeCell ref="E20:E21"/>
    <mergeCell ref="A65:B65"/>
    <mergeCell ref="A7:B7"/>
    <mergeCell ref="A8:A9"/>
    <mergeCell ref="B8:B9"/>
    <mergeCell ref="C8:C9"/>
    <mergeCell ref="D8:D9"/>
    <mergeCell ref="A20:A21"/>
  </mergeCells>
  <printOptions/>
  <pageMargins left="0.21" right="0.16" top="0.17" bottom="0.23" header="0.5" footer="0.23"/>
  <pageSetup fitToHeight="1" fitToWidth="1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tabSelected="1" zoomScalePageLayoutView="0" workbookViewId="0" topLeftCell="A1">
      <selection activeCell="D66" sqref="D66"/>
    </sheetView>
  </sheetViews>
  <sheetFormatPr defaultColWidth="9.140625" defaultRowHeight="12.75"/>
  <cols>
    <col min="1" max="1" width="18.421875" style="0" customWidth="1"/>
    <col min="2" max="2" width="16.8515625" style="0" customWidth="1"/>
    <col min="3" max="3" width="13.28125" style="0" customWidth="1"/>
    <col min="4" max="4" width="16.421875" style="0" customWidth="1"/>
    <col min="5" max="5" width="14.28125" style="0" customWidth="1"/>
    <col min="6" max="6" width="13.28125" style="0" customWidth="1"/>
    <col min="7" max="7" width="22.00390625" style="0" customWidth="1"/>
    <col min="8" max="8" width="16.28125" style="0" customWidth="1"/>
    <col min="9" max="9" width="14.00390625" style="0" customWidth="1"/>
    <col min="10" max="10" width="16.140625" style="0" customWidth="1"/>
    <col min="11" max="11" width="13.7109375" style="0" customWidth="1"/>
  </cols>
  <sheetData>
    <row r="1" ht="20.25">
      <c r="C1" s="68" t="s">
        <v>100</v>
      </c>
    </row>
    <row r="3" ht="13.5" thickBot="1"/>
    <row r="4" spans="1:11" ht="12.75">
      <c r="A4" s="147" t="s">
        <v>8</v>
      </c>
      <c r="B4" s="150" t="s">
        <v>83</v>
      </c>
      <c r="C4" s="151"/>
      <c r="D4" s="150" t="s">
        <v>89</v>
      </c>
      <c r="E4" s="151"/>
      <c r="G4" s="147" t="s">
        <v>18</v>
      </c>
      <c r="H4" s="150" t="s">
        <v>83</v>
      </c>
      <c r="I4" s="151"/>
      <c r="J4" s="150" t="s">
        <v>89</v>
      </c>
      <c r="K4" s="151"/>
    </row>
    <row r="5" spans="1:11" ht="13.5" thickBot="1">
      <c r="A5" s="148"/>
      <c r="B5" s="60" t="s">
        <v>62</v>
      </c>
      <c r="C5" s="59" t="s">
        <v>63</v>
      </c>
      <c r="D5" s="60" t="s">
        <v>62</v>
      </c>
      <c r="E5" s="59" t="s">
        <v>63</v>
      </c>
      <c r="G5" s="148"/>
      <c r="H5" s="60" t="s">
        <v>62</v>
      </c>
      <c r="I5" s="59" t="s">
        <v>63</v>
      </c>
      <c r="J5" s="60" t="s">
        <v>62</v>
      </c>
      <c r="K5" s="59" t="s">
        <v>63</v>
      </c>
    </row>
    <row r="6" spans="1:11" ht="12.75">
      <c r="A6" s="5" t="s">
        <v>152</v>
      </c>
      <c r="B6" s="57" t="s">
        <v>2</v>
      </c>
      <c r="C6" s="57" t="s">
        <v>2</v>
      </c>
      <c r="D6" s="57">
        <v>1843978</v>
      </c>
      <c r="E6" s="6" t="s">
        <v>2</v>
      </c>
      <c r="G6" s="5" t="s">
        <v>197</v>
      </c>
      <c r="H6" s="57"/>
      <c r="I6" s="57"/>
      <c r="J6" s="57"/>
      <c r="K6" s="6">
        <v>109704</v>
      </c>
    </row>
    <row r="7" spans="1:11" ht="12.75">
      <c r="A7" s="5" t="s">
        <v>153</v>
      </c>
      <c r="B7" s="57" t="s">
        <v>2</v>
      </c>
      <c r="C7" s="57" t="s">
        <v>2</v>
      </c>
      <c r="D7" s="57">
        <v>297750</v>
      </c>
      <c r="E7" s="6" t="s">
        <v>2</v>
      </c>
      <c r="G7" s="5" t="s">
        <v>198</v>
      </c>
      <c r="H7" s="57">
        <v>18144</v>
      </c>
      <c r="I7" s="57"/>
      <c r="J7" s="57">
        <v>19764</v>
      </c>
      <c r="K7" s="6"/>
    </row>
    <row r="8" spans="1:11" ht="12.75">
      <c r="A8" s="5" t="s">
        <v>155</v>
      </c>
      <c r="B8" s="57">
        <v>269200</v>
      </c>
      <c r="C8" s="57" t="s">
        <v>2</v>
      </c>
      <c r="D8" s="57">
        <v>1034800</v>
      </c>
      <c r="E8" s="6" t="s">
        <v>2</v>
      </c>
      <c r="G8" s="5" t="s">
        <v>199</v>
      </c>
      <c r="H8" s="57"/>
      <c r="I8" s="57">
        <v>1401.6</v>
      </c>
      <c r="J8" s="57"/>
      <c r="K8" s="6"/>
    </row>
    <row r="9" spans="1:11" ht="12.75">
      <c r="A9" s="5" t="s">
        <v>156</v>
      </c>
      <c r="B9" s="57">
        <v>3944051.05</v>
      </c>
      <c r="C9" s="57" t="s">
        <v>2</v>
      </c>
      <c r="D9" s="57">
        <v>29585214.48</v>
      </c>
      <c r="E9" s="6" t="s">
        <v>2</v>
      </c>
      <c r="G9" s="5" t="s">
        <v>154</v>
      </c>
      <c r="H9" s="57" t="s">
        <v>2</v>
      </c>
      <c r="I9" s="57" t="s">
        <v>2</v>
      </c>
      <c r="J9" s="57" t="s">
        <v>2</v>
      </c>
      <c r="K9" s="6">
        <f>378000-1412.4</f>
        <v>376587.6</v>
      </c>
    </row>
    <row r="10" spans="1:11" ht="23.25">
      <c r="A10" s="5" t="s">
        <v>157</v>
      </c>
      <c r="B10" s="57">
        <v>139750</v>
      </c>
      <c r="C10" s="57" t="s">
        <v>2</v>
      </c>
      <c r="D10" s="57">
        <v>61200</v>
      </c>
      <c r="E10" s="6" t="s">
        <v>2</v>
      </c>
      <c r="G10" s="5" t="s">
        <v>182</v>
      </c>
      <c r="H10" s="57" t="s">
        <v>2</v>
      </c>
      <c r="I10" s="57">
        <v>497.1</v>
      </c>
      <c r="J10" s="57" t="s">
        <v>2</v>
      </c>
      <c r="K10" s="6">
        <f>18544.37-18047.27</f>
        <v>497.09999999999854</v>
      </c>
    </row>
    <row r="11" spans="1:11" ht="23.25">
      <c r="A11" s="5" t="s">
        <v>158</v>
      </c>
      <c r="B11" s="57" t="s">
        <v>2</v>
      </c>
      <c r="C11" s="57" t="s">
        <v>2</v>
      </c>
      <c r="D11" s="57">
        <v>86000</v>
      </c>
      <c r="E11" s="6" t="s">
        <v>2</v>
      </c>
      <c r="G11" s="5" t="s">
        <v>183</v>
      </c>
      <c r="H11" s="57" t="s">
        <v>2</v>
      </c>
      <c r="I11" s="57" t="s">
        <v>2</v>
      </c>
      <c r="J11" s="57">
        <v>378840.13</v>
      </c>
      <c r="K11" s="6" t="s">
        <v>2</v>
      </c>
    </row>
    <row r="12" spans="1:11" ht="12.75">
      <c r="A12" s="5" t="s">
        <v>159</v>
      </c>
      <c r="B12" s="57">
        <v>294930</v>
      </c>
      <c r="C12" s="57" t="s">
        <v>2</v>
      </c>
      <c r="D12" s="57" t="s">
        <v>2</v>
      </c>
      <c r="E12" s="6" t="s">
        <v>2</v>
      </c>
      <c r="G12" s="5" t="s">
        <v>184</v>
      </c>
      <c r="H12" s="57" t="s">
        <v>2</v>
      </c>
      <c r="I12" s="57">
        <f>2759656.24+17953.99</f>
        <v>2777610.2300000004</v>
      </c>
      <c r="J12" s="57" t="s">
        <v>2</v>
      </c>
      <c r="K12" s="6">
        <f>1149304.6+12156.81</f>
        <v>1161461.4100000001</v>
      </c>
    </row>
    <row r="13" spans="1:11" ht="12.75">
      <c r="A13" s="5" t="s">
        <v>111</v>
      </c>
      <c r="B13" s="57">
        <f>3992330-1610266.4</f>
        <v>2382063.6</v>
      </c>
      <c r="C13" s="57" t="s">
        <v>2</v>
      </c>
      <c r="D13" s="57"/>
      <c r="E13" s="6">
        <f>5848281.4-5471780</f>
        <v>376501.4000000004</v>
      </c>
      <c r="G13" s="5" t="s">
        <v>185</v>
      </c>
      <c r="H13" s="57">
        <v>10570.7</v>
      </c>
      <c r="I13" s="57" t="s">
        <v>2</v>
      </c>
      <c r="J13" s="57">
        <v>10570.7</v>
      </c>
      <c r="K13" s="6" t="s">
        <v>2</v>
      </c>
    </row>
    <row r="14" spans="1:11" ht="12.75">
      <c r="A14" s="5" t="s">
        <v>160</v>
      </c>
      <c r="B14" s="57" t="s">
        <v>2</v>
      </c>
      <c r="C14" s="57" t="s">
        <v>2</v>
      </c>
      <c r="D14" s="57" t="s">
        <v>2</v>
      </c>
      <c r="E14" s="6">
        <v>153970</v>
      </c>
      <c r="G14" s="5" t="s">
        <v>186</v>
      </c>
      <c r="H14" s="57" t="s">
        <v>2</v>
      </c>
      <c r="I14" s="57">
        <v>6167761.23</v>
      </c>
      <c r="J14" s="57" t="s">
        <v>2</v>
      </c>
      <c r="K14" s="6">
        <v>21960267.38</v>
      </c>
    </row>
    <row r="15" spans="1:11" ht="12.75">
      <c r="A15" s="5" t="s">
        <v>196</v>
      </c>
      <c r="B15" s="57" t="s">
        <v>2</v>
      </c>
      <c r="C15" s="57">
        <f>245104+877448</f>
        <v>1122552</v>
      </c>
      <c r="D15" s="57">
        <f>3018720-272721</f>
        <v>2745999</v>
      </c>
      <c r="E15" s="6" t="s">
        <v>2</v>
      </c>
      <c r="G15" s="5" t="s">
        <v>187</v>
      </c>
      <c r="H15" s="57" t="s">
        <v>2</v>
      </c>
      <c r="I15" s="57">
        <v>0.07</v>
      </c>
      <c r="J15" s="57" t="s">
        <v>2</v>
      </c>
      <c r="K15" s="6">
        <v>0.07</v>
      </c>
    </row>
    <row r="16" spans="1:11" ht="12.75">
      <c r="A16" s="5" t="s">
        <v>161</v>
      </c>
      <c r="B16" s="57" t="s">
        <v>2</v>
      </c>
      <c r="C16" s="57" t="s">
        <v>2</v>
      </c>
      <c r="D16" s="57" t="s">
        <v>2</v>
      </c>
      <c r="E16" s="6">
        <v>8385.5</v>
      </c>
      <c r="G16" s="5" t="s">
        <v>104</v>
      </c>
      <c r="H16" s="57">
        <f>5429221.65-3862724.49</f>
        <v>1566497.1600000001</v>
      </c>
      <c r="I16" s="57" t="s">
        <v>2</v>
      </c>
      <c r="J16" s="57"/>
      <c r="K16" s="6">
        <f>8516207.49-6363182.01</f>
        <v>2153025.4800000004</v>
      </c>
    </row>
    <row r="17" spans="1:11" ht="12.75">
      <c r="A17" s="5" t="s">
        <v>162</v>
      </c>
      <c r="B17" s="57" t="s">
        <v>2</v>
      </c>
      <c r="C17" s="57" t="s">
        <v>2</v>
      </c>
      <c r="D17" s="57" t="s">
        <v>2</v>
      </c>
      <c r="E17" s="6">
        <v>17027.5</v>
      </c>
      <c r="G17" s="5" t="s">
        <v>188</v>
      </c>
      <c r="H17" s="57">
        <f>8700-3600</f>
        <v>5100</v>
      </c>
      <c r="I17" s="57" t="s">
        <v>2</v>
      </c>
      <c r="J17" s="57">
        <f>8700-1500</f>
        <v>7200</v>
      </c>
      <c r="K17" s="6" t="s">
        <v>2</v>
      </c>
    </row>
    <row r="18" spans="1:11" ht="12.75">
      <c r="A18" s="5" t="s">
        <v>163</v>
      </c>
      <c r="B18" s="57" t="s">
        <v>2</v>
      </c>
      <c r="C18" s="57">
        <v>270</v>
      </c>
      <c r="D18" s="57" t="s">
        <v>2</v>
      </c>
      <c r="E18" s="6">
        <v>270</v>
      </c>
      <c r="G18" s="5" t="s">
        <v>189</v>
      </c>
      <c r="H18" s="57" t="s">
        <v>2</v>
      </c>
      <c r="I18" s="57">
        <f>38086-4332</f>
        <v>33754</v>
      </c>
      <c r="J18" s="57" t="s">
        <v>2</v>
      </c>
      <c r="K18" s="6">
        <f>38086-19686.93</f>
        <v>18399.07</v>
      </c>
    </row>
    <row r="19" spans="1:11" ht="23.25">
      <c r="A19" s="5" t="s">
        <v>164</v>
      </c>
      <c r="B19" s="57">
        <v>775116</v>
      </c>
      <c r="C19" s="57" t="s">
        <v>2</v>
      </c>
      <c r="D19" s="57">
        <v>546000</v>
      </c>
      <c r="E19" s="6" t="s">
        <v>2</v>
      </c>
      <c r="G19" s="5" t="s">
        <v>190</v>
      </c>
      <c r="H19" s="57">
        <v>1054.34</v>
      </c>
      <c r="I19" s="57" t="s">
        <v>2</v>
      </c>
      <c r="J19" s="57">
        <v>12699.52</v>
      </c>
      <c r="K19" s="6" t="s">
        <v>2</v>
      </c>
    </row>
    <row r="20" spans="1:11" ht="12.75">
      <c r="A20" s="5" t="s">
        <v>165</v>
      </c>
      <c r="B20" s="57" t="s">
        <v>2</v>
      </c>
      <c r="C20" s="57" t="s">
        <v>2</v>
      </c>
      <c r="D20" s="57">
        <v>23170.2</v>
      </c>
      <c r="E20" s="6" t="s">
        <v>2</v>
      </c>
      <c r="G20" s="5" t="s">
        <v>65</v>
      </c>
      <c r="H20" s="57">
        <v>3514.15</v>
      </c>
      <c r="I20" s="57"/>
      <c r="J20" s="57">
        <v>13623.62</v>
      </c>
      <c r="K20" s="6"/>
    </row>
    <row r="21" spans="1:11" ht="23.25">
      <c r="A21" s="5" t="s">
        <v>166</v>
      </c>
      <c r="B21" s="57" t="s">
        <v>2</v>
      </c>
      <c r="C21" s="57" t="s">
        <v>2</v>
      </c>
      <c r="D21" s="57">
        <v>622474</v>
      </c>
      <c r="E21" s="6" t="s">
        <v>2</v>
      </c>
      <c r="G21" s="5" t="s">
        <v>191</v>
      </c>
      <c r="H21" s="57">
        <f>82955.88-293.75</f>
        <v>82662.13</v>
      </c>
      <c r="I21" s="57" t="s">
        <v>2</v>
      </c>
      <c r="J21" s="57">
        <f>84414.9-293.75</f>
        <v>84121.15</v>
      </c>
      <c r="K21" s="6" t="s">
        <v>2</v>
      </c>
    </row>
    <row r="22" spans="1:11" ht="12.75">
      <c r="A22" s="5" t="s">
        <v>167</v>
      </c>
      <c r="B22" s="57">
        <v>46800</v>
      </c>
      <c r="C22" s="57" t="s">
        <v>2</v>
      </c>
      <c r="D22" s="57">
        <v>292904</v>
      </c>
      <c r="E22" s="6" t="s">
        <v>2</v>
      </c>
      <c r="G22" s="5" t="s">
        <v>200</v>
      </c>
      <c r="H22" s="57"/>
      <c r="I22" s="57">
        <v>11664</v>
      </c>
      <c r="J22" s="57"/>
      <c r="K22" s="6">
        <v>11664</v>
      </c>
    </row>
    <row r="23" spans="1:11" ht="12.75">
      <c r="A23" s="5" t="s">
        <v>168</v>
      </c>
      <c r="B23" s="57">
        <v>437380</v>
      </c>
      <c r="C23" s="57" t="s">
        <v>2</v>
      </c>
      <c r="D23" s="57" t="s">
        <v>2</v>
      </c>
      <c r="E23" s="6" t="s">
        <v>2</v>
      </c>
      <c r="G23" s="5" t="s">
        <v>202</v>
      </c>
      <c r="H23" s="57"/>
      <c r="I23" s="57">
        <v>68512.29</v>
      </c>
      <c r="J23" s="57"/>
      <c r="K23" s="6">
        <v>68512.29</v>
      </c>
    </row>
    <row r="24" spans="1:11" ht="12.75">
      <c r="A24" s="5" t="s">
        <v>169</v>
      </c>
      <c r="B24" s="57">
        <v>270900</v>
      </c>
      <c r="C24" s="57" t="s">
        <v>2</v>
      </c>
      <c r="D24" s="57">
        <v>113850</v>
      </c>
      <c r="E24" s="6" t="s">
        <v>2</v>
      </c>
      <c r="G24" s="5" t="s">
        <v>203</v>
      </c>
      <c r="H24" s="57"/>
      <c r="I24" s="57">
        <v>350</v>
      </c>
      <c r="J24" s="57"/>
      <c r="K24" s="6">
        <v>525</v>
      </c>
    </row>
    <row r="25" spans="1:11" ht="12.75">
      <c r="A25" s="5" t="s">
        <v>201</v>
      </c>
      <c r="B25" s="57" t="s">
        <v>2</v>
      </c>
      <c r="C25" s="57">
        <v>193592.99</v>
      </c>
      <c r="D25" s="57">
        <v>0.01</v>
      </c>
      <c r="E25" s="6" t="s">
        <v>2</v>
      </c>
      <c r="G25" s="5" t="s">
        <v>171</v>
      </c>
      <c r="H25" s="57" t="s">
        <v>2</v>
      </c>
      <c r="I25" s="57">
        <v>439150</v>
      </c>
      <c r="J25" s="57" t="s">
        <v>2</v>
      </c>
      <c r="K25" s="6">
        <f>49798.2+431887.8</f>
        <v>481686</v>
      </c>
    </row>
    <row r="26" spans="1:11" ht="12.75">
      <c r="A26" s="5" t="s">
        <v>120</v>
      </c>
      <c r="B26" s="57" t="s">
        <v>2</v>
      </c>
      <c r="C26" s="57" t="s">
        <v>2</v>
      </c>
      <c r="D26" s="57" t="s">
        <v>2</v>
      </c>
      <c r="E26" s="6">
        <v>103400</v>
      </c>
      <c r="G26" s="5" t="s">
        <v>192</v>
      </c>
      <c r="H26" s="57">
        <v>3650</v>
      </c>
      <c r="I26" s="57" t="s">
        <v>2</v>
      </c>
      <c r="J26" s="57">
        <v>3650</v>
      </c>
      <c r="K26" s="6" t="s">
        <v>2</v>
      </c>
    </row>
    <row r="27" spans="1:11" ht="12.75">
      <c r="A27" s="5" t="s">
        <v>170</v>
      </c>
      <c r="B27" s="57">
        <v>0.05</v>
      </c>
      <c r="C27" s="57" t="s">
        <v>2</v>
      </c>
      <c r="D27" s="57">
        <v>0.05</v>
      </c>
      <c r="E27" s="6" t="s">
        <v>2</v>
      </c>
      <c r="G27" s="5" t="s">
        <v>204</v>
      </c>
      <c r="H27" s="57"/>
      <c r="I27" s="57">
        <v>96960</v>
      </c>
      <c r="J27" s="57"/>
      <c r="K27" s="6">
        <v>96960</v>
      </c>
    </row>
    <row r="28" spans="1:11" ht="12.75">
      <c r="A28" s="5" t="s">
        <v>171</v>
      </c>
      <c r="B28" s="57">
        <v>2974558.31</v>
      </c>
      <c r="C28" s="57" t="s">
        <v>2</v>
      </c>
      <c r="D28" s="57">
        <v>1810279.51</v>
      </c>
      <c r="E28" s="6" t="s">
        <v>2</v>
      </c>
      <c r="G28" s="5" t="s">
        <v>205</v>
      </c>
      <c r="H28" s="57">
        <v>2581.55</v>
      </c>
      <c r="I28" s="57"/>
      <c r="J28" s="57"/>
      <c r="K28" s="6">
        <v>4228.84</v>
      </c>
    </row>
    <row r="29" spans="1:11" ht="12.75">
      <c r="A29" s="5" t="s">
        <v>172</v>
      </c>
      <c r="B29" s="57">
        <v>1195893</v>
      </c>
      <c r="C29" s="57" t="s">
        <v>2</v>
      </c>
      <c r="D29" s="57">
        <v>11515</v>
      </c>
      <c r="E29" s="6" t="s">
        <v>2</v>
      </c>
      <c r="G29" s="5" t="s">
        <v>206</v>
      </c>
      <c r="H29" s="57">
        <v>8104.73</v>
      </c>
      <c r="I29" s="57"/>
      <c r="J29" s="57">
        <v>8104.73</v>
      </c>
      <c r="K29" s="6"/>
    </row>
    <row r="30" spans="1:11" ht="12.75">
      <c r="A30" s="5" t="s">
        <v>173</v>
      </c>
      <c r="B30" s="57" t="s">
        <v>2</v>
      </c>
      <c r="C30" s="57" t="s">
        <v>2</v>
      </c>
      <c r="D30" s="57">
        <v>1403970</v>
      </c>
      <c r="E30" s="6" t="s">
        <v>2</v>
      </c>
      <c r="G30" s="5" t="s">
        <v>193</v>
      </c>
      <c r="H30" s="57">
        <f>560-280</f>
        <v>280</v>
      </c>
      <c r="I30" s="57"/>
      <c r="J30" s="57">
        <f>280-220</f>
        <v>60</v>
      </c>
      <c r="K30" s="6"/>
    </row>
    <row r="31" spans="1:11" ht="12.75">
      <c r="A31" s="5" t="s">
        <v>174</v>
      </c>
      <c r="B31" s="57">
        <v>476100</v>
      </c>
      <c r="C31" s="57" t="s">
        <v>2</v>
      </c>
      <c r="D31" s="57" t="s">
        <v>2</v>
      </c>
      <c r="E31" s="6" t="s">
        <v>2</v>
      </c>
      <c r="G31" s="5" t="s">
        <v>207</v>
      </c>
      <c r="H31" s="57"/>
      <c r="I31" s="57">
        <v>3045.5</v>
      </c>
      <c r="J31" s="57"/>
      <c r="K31" s="6">
        <v>3045.5</v>
      </c>
    </row>
    <row r="32" spans="1:11" ht="12.75">
      <c r="A32" s="5" t="s">
        <v>175</v>
      </c>
      <c r="B32" s="57" t="s">
        <v>2</v>
      </c>
      <c r="C32" s="57" t="s">
        <v>2</v>
      </c>
      <c r="D32" s="57">
        <v>54500</v>
      </c>
      <c r="E32" s="6" t="s">
        <v>2</v>
      </c>
      <c r="G32" s="5" t="s">
        <v>194</v>
      </c>
      <c r="H32" s="57">
        <v>380</v>
      </c>
      <c r="I32" s="57" t="s">
        <v>2</v>
      </c>
      <c r="J32" s="57">
        <v>380</v>
      </c>
      <c r="K32" s="6" t="s">
        <v>2</v>
      </c>
    </row>
    <row r="33" spans="1:11" ht="24" thickBot="1">
      <c r="A33" s="5" t="s">
        <v>176</v>
      </c>
      <c r="B33" s="57">
        <v>1034900</v>
      </c>
      <c r="C33" s="57" t="s">
        <v>2</v>
      </c>
      <c r="D33" s="57">
        <v>972000</v>
      </c>
      <c r="E33" s="6" t="s">
        <v>2</v>
      </c>
      <c r="G33" s="5" t="s">
        <v>195</v>
      </c>
      <c r="H33" s="57"/>
      <c r="I33" s="57">
        <f>11996-7829</f>
        <v>4167</v>
      </c>
      <c r="J33" s="57" t="s">
        <v>2</v>
      </c>
      <c r="K33" s="6">
        <v>6121</v>
      </c>
    </row>
    <row r="34" spans="1:11" ht="13.5" thickBot="1">
      <c r="A34" s="5" t="s">
        <v>177</v>
      </c>
      <c r="B34" s="57" t="s">
        <v>2</v>
      </c>
      <c r="C34" s="57" t="s">
        <v>2</v>
      </c>
      <c r="D34" s="57">
        <v>498000</v>
      </c>
      <c r="E34" s="6" t="s">
        <v>2</v>
      </c>
      <c r="G34" s="61" t="s">
        <v>7</v>
      </c>
      <c r="H34" s="70">
        <f>SUM(H6:H33)</f>
        <v>1702538.76</v>
      </c>
      <c r="I34" s="70">
        <f>SUM(I6:I33)</f>
        <v>9604873.02</v>
      </c>
      <c r="J34" s="70">
        <f>SUM(J6:J33)</f>
        <v>539013.85</v>
      </c>
      <c r="K34" s="70">
        <f>SUM(K6:K33)</f>
        <v>26452684.74</v>
      </c>
    </row>
    <row r="35" spans="1:11" ht="23.25">
      <c r="A35" s="5" t="s">
        <v>178</v>
      </c>
      <c r="B35" s="57">
        <v>40570</v>
      </c>
      <c r="C35" s="57" t="s">
        <v>2</v>
      </c>
      <c r="D35" s="57">
        <v>154365</v>
      </c>
      <c r="E35" s="6" t="s">
        <v>2</v>
      </c>
      <c r="H35" s="10"/>
      <c r="I35" s="10">
        <f>I34-H34</f>
        <v>7902334.26</v>
      </c>
      <c r="J35" s="10"/>
      <c r="K35" s="10">
        <f>K34-J34</f>
        <v>25913670.889999997</v>
      </c>
    </row>
    <row r="36" spans="1:5" ht="13.5" thickBot="1">
      <c r="A36" s="5" t="s">
        <v>179</v>
      </c>
      <c r="B36" s="57">
        <v>251335</v>
      </c>
      <c r="C36" s="57" t="s">
        <v>2</v>
      </c>
      <c r="D36" s="57" t="s">
        <v>2</v>
      </c>
      <c r="E36" s="6" t="s">
        <v>2</v>
      </c>
    </row>
    <row r="37" spans="1:11" ht="12.75">
      <c r="A37" s="5" t="s">
        <v>180</v>
      </c>
      <c r="B37" s="57" t="s">
        <v>2</v>
      </c>
      <c r="C37" s="57" t="s">
        <v>2</v>
      </c>
      <c r="D37" s="57">
        <v>1334460</v>
      </c>
      <c r="E37" s="6" t="s">
        <v>2</v>
      </c>
      <c r="G37" s="147" t="s">
        <v>67</v>
      </c>
      <c r="H37" s="150" t="s">
        <v>83</v>
      </c>
      <c r="I37" s="151"/>
      <c r="J37" s="152" t="s">
        <v>89</v>
      </c>
      <c r="K37" s="151"/>
    </row>
    <row r="38" spans="1:11" ht="13.5" thickBot="1">
      <c r="A38" s="5" t="s">
        <v>181</v>
      </c>
      <c r="B38" s="57">
        <f>2035126.79-89595.7</f>
        <v>1945531.09</v>
      </c>
      <c r="C38" s="57" t="s">
        <v>2</v>
      </c>
      <c r="D38" s="57">
        <v>1020407.14</v>
      </c>
      <c r="E38" s="6" t="s">
        <v>2</v>
      </c>
      <c r="G38" s="149"/>
      <c r="H38" s="117" t="s">
        <v>64</v>
      </c>
      <c r="I38" s="118" t="s">
        <v>63</v>
      </c>
      <c r="J38" s="113" t="s">
        <v>64</v>
      </c>
      <c r="K38" s="118" t="s">
        <v>63</v>
      </c>
    </row>
    <row r="39" spans="1:11" ht="13.5" thickBot="1">
      <c r="A39" s="61" t="s">
        <v>7</v>
      </c>
      <c r="B39" s="70">
        <f>SUM(B6:B38)</f>
        <v>16479078.100000001</v>
      </c>
      <c r="C39" s="70">
        <f>SUM(C6:C38)</f>
        <v>1316414.99</v>
      </c>
      <c r="D39" s="70">
        <f>SUM(D6:D38)</f>
        <v>44512836.39</v>
      </c>
      <c r="E39" s="70">
        <f>SUM(E6:E38)</f>
        <v>659554.4000000004</v>
      </c>
      <c r="G39" s="126" t="s">
        <v>20</v>
      </c>
      <c r="H39" s="119">
        <v>7982.86</v>
      </c>
      <c r="I39" s="120"/>
      <c r="J39" s="114">
        <v>30832.86</v>
      </c>
      <c r="K39" s="120"/>
    </row>
    <row r="40" spans="2:11" ht="12.75">
      <c r="B40" s="10">
        <f>B39-C39</f>
        <v>15162663.110000001</v>
      </c>
      <c r="C40" s="10"/>
      <c r="D40" s="10">
        <f>D39-E39</f>
        <v>43853281.99</v>
      </c>
      <c r="E40" s="10"/>
      <c r="G40" s="126" t="s">
        <v>94</v>
      </c>
      <c r="H40" s="119"/>
      <c r="I40" s="120">
        <v>9259.85</v>
      </c>
      <c r="J40" s="114"/>
      <c r="K40" s="120">
        <v>2629.85</v>
      </c>
    </row>
    <row r="41" spans="7:11" ht="12.75">
      <c r="G41" s="126" t="s">
        <v>48</v>
      </c>
      <c r="H41" s="119"/>
      <c r="I41" s="120">
        <f>2865169.84+80</f>
        <v>2865249.84</v>
      </c>
      <c r="J41" s="114"/>
      <c r="K41" s="120">
        <f>3320512.68+80</f>
        <v>3320592.68</v>
      </c>
    </row>
    <row r="42" spans="7:11" ht="12.75">
      <c r="G42" s="127" t="s">
        <v>12</v>
      </c>
      <c r="H42" s="119">
        <f>1578701.67+250171.03-437911.14</f>
        <v>1390961.56</v>
      </c>
      <c r="I42" s="121"/>
      <c r="J42" s="114">
        <f>1348905.01-642813.58+43177.58</f>
        <v>749269.01</v>
      </c>
      <c r="K42" s="121"/>
    </row>
    <row r="43" spans="3:11" ht="12.75">
      <c r="C43" s="10"/>
      <c r="D43" s="10"/>
      <c r="G43" s="126" t="s">
        <v>37</v>
      </c>
      <c r="H43" s="122">
        <v>28560</v>
      </c>
      <c r="I43" s="120"/>
      <c r="J43" s="115">
        <v>86560</v>
      </c>
      <c r="K43" s="120"/>
    </row>
    <row r="44" spans="1:11" ht="12.75">
      <c r="A44" s="62"/>
      <c r="B44" s="63">
        <v>41091</v>
      </c>
      <c r="C44" s="63">
        <v>41183</v>
      </c>
      <c r="D44" s="63" t="s">
        <v>73</v>
      </c>
      <c r="E44" s="56"/>
      <c r="G44" s="126" t="s">
        <v>68</v>
      </c>
      <c r="H44" s="122">
        <v>125434</v>
      </c>
      <c r="I44" s="120"/>
      <c r="J44" s="115">
        <v>205434</v>
      </c>
      <c r="K44" s="120"/>
    </row>
    <row r="45" spans="1:11" ht="12.75">
      <c r="A45" s="64" t="s">
        <v>74</v>
      </c>
      <c r="B45" s="65">
        <v>1704424.9</v>
      </c>
      <c r="C45" s="65">
        <v>7646016.29</v>
      </c>
      <c r="D45" s="65">
        <f>C45-B45</f>
        <v>5941591.390000001</v>
      </c>
      <c r="E45" s="56"/>
      <c r="G45" s="126" t="s">
        <v>19</v>
      </c>
      <c r="H45" s="122">
        <v>19330</v>
      </c>
      <c r="I45" s="120"/>
      <c r="J45" s="115"/>
      <c r="K45" s="120">
        <v>80026.76</v>
      </c>
    </row>
    <row r="46" spans="1:11" ht="12.75">
      <c r="A46" s="64" t="s">
        <v>211</v>
      </c>
      <c r="B46" s="65">
        <v>1453986.01</v>
      </c>
      <c r="C46" s="65">
        <v>1311588.27</v>
      </c>
      <c r="D46" s="65">
        <f>C46-B46</f>
        <v>-142397.74</v>
      </c>
      <c r="E46" s="69"/>
      <c r="G46" s="126" t="s">
        <v>69</v>
      </c>
      <c r="H46" s="123"/>
      <c r="I46" s="120">
        <v>83544.46</v>
      </c>
      <c r="J46" s="116"/>
      <c r="K46" s="120">
        <v>41172.28</v>
      </c>
    </row>
    <row r="47" spans="1:11" ht="20.25">
      <c r="A47" s="64" t="s">
        <v>75</v>
      </c>
      <c r="B47" s="65">
        <v>11988428.78</v>
      </c>
      <c r="C47" s="65">
        <v>2671364.47</v>
      </c>
      <c r="D47" s="67"/>
      <c r="E47" s="69"/>
      <c r="G47" s="126" t="s">
        <v>70</v>
      </c>
      <c r="H47" s="122"/>
      <c r="I47" s="120">
        <v>6000000</v>
      </c>
      <c r="J47" s="115"/>
      <c r="K47" s="120">
        <v>6000000</v>
      </c>
    </row>
    <row r="48" spans="1:11" ht="12.75">
      <c r="A48" s="66" t="s">
        <v>71</v>
      </c>
      <c r="B48" s="67">
        <f>B47+B40-I35-I52</f>
        <v>-3126028.099999994</v>
      </c>
      <c r="C48" s="67">
        <f>C47+D40-K35-K52</f>
        <v>-2669993.3699999973</v>
      </c>
      <c r="D48" s="67">
        <f>C48-B48</f>
        <v>456034.7299999967</v>
      </c>
      <c r="E48" s="56"/>
      <c r="G48" s="126" t="s">
        <v>209</v>
      </c>
      <c r="H48" s="122"/>
      <c r="I48" s="120">
        <v>15000000</v>
      </c>
      <c r="J48" s="115"/>
      <c r="K48" s="120">
        <v>15000000</v>
      </c>
    </row>
    <row r="49" spans="1:11" ht="12.75">
      <c r="A49" s="66" t="s">
        <v>212</v>
      </c>
      <c r="B49" s="36"/>
      <c r="C49" s="36"/>
      <c r="D49" s="67">
        <v>3296703.3</v>
      </c>
      <c r="E49" s="56"/>
      <c r="G49" s="126" t="s">
        <v>208</v>
      </c>
      <c r="H49" s="122">
        <v>11000</v>
      </c>
      <c r="I49" s="120"/>
      <c r="J49" s="115">
        <v>11000</v>
      </c>
      <c r="K49" s="120"/>
    </row>
    <row r="50" spans="1:11" ht="12.75">
      <c r="A50" s="66" t="s">
        <v>76</v>
      </c>
      <c r="B50" s="36"/>
      <c r="C50" s="36"/>
      <c r="D50" s="67">
        <f>-926181.54-127069.59+130471.89</f>
        <v>-922779.2400000001</v>
      </c>
      <c r="G50" s="126" t="s">
        <v>210</v>
      </c>
      <c r="H50" s="122"/>
      <c r="I50" s="120"/>
      <c r="J50" s="115">
        <v>80356.76</v>
      </c>
      <c r="K50" s="120"/>
    </row>
    <row r="51" spans="1:11" ht="27" thickBot="1">
      <c r="A51" s="76"/>
      <c r="B51" s="77"/>
      <c r="C51" s="77"/>
      <c r="D51" s="78">
        <f>SUM(D45:D50)</f>
        <v>8629152.439999996</v>
      </c>
      <c r="E51" s="111" t="s">
        <v>213</v>
      </c>
      <c r="G51" s="128" t="s">
        <v>7</v>
      </c>
      <c r="H51" s="124">
        <f>SUM(H39:H50)</f>
        <v>1583268.4200000002</v>
      </c>
      <c r="I51" s="125">
        <f>SUM(I39:I50)</f>
        <v>23958054.15</v>
      </c>
      <c r="J51" s="129">
        <f>SUM(J39:J50)</f>
        <v>1163452.6300000001</v>
      </c>
      <c r="K51" s="125">
        <f>SUM(K39:K50)</f>
        <v>24444421.57</v>
      </c>
    </row>
    <row r="52" spans="5:11" ht="12.75">
      <c r="E52" s="112"/>
      <c r="I52" s="10">
        <f>I51-H51</f>
        <v>22374785.729999997</v>
      </c>
      <c r="K52" s="10">
        <f>K51-J51</f>
        <v>23280968.94</v>
      </c>
    </row>
    <row r="53" spans="4:5" ht="12.75">
      <c r="D53" s="10"/>
      <c r="E53" s="112"/>
    </row>
    <row r="54" spans="4:11" ht="12.75">
      <c r="D54" s="10"/>
      <c r="E54" s="56"/>
      <c r="I54" s="10"/>
      <c r="K54" s="10"/>
    </row>
    <row r="55" ht="12.75">
      <c r="E55" s="56"/>
    </row>
    <row r="56" ht="12.75">
      <c r="E56" s="56"/>
    </row>
    <row r="59" spans="7:8" ht="12.75">
      <c r="G59" s="146"/>
      <c r="H59" s="146"/>
    </row>
    <row r="60" spans="5:9" ht="12.75">
      <c r="E60" s="146"/>
      <c r="F60" s="146"/>
      <c r="G60" s="10"/>
      <c r="H60" s="10"/>
      <c r="I60" s="10"/>
    </row>
    <row r="61" spans="5:9" ht="12.75">
      <c r="E61" s="10"/>
      <c r="F61" s="10"/>
      <c r="G61" s="10"/>
      <c r="H61" s="10"/>
      <c r="I61" s="10"/>
    </row>
    <row r="62" spans="5:9" ht="12.75">
      <c r="E62" s="10"/>
      <c r="F62" s="10"/>
      <c r="G62" s="10"/>
      <c r="H62" s="10"/>
      <c r="I62" s="10"/>
    </row>
    <row r="63" spans="5:9" ht="12.75">
      <c r="E63" s="10"/>
      <c r="F63" s="10"/>
      <c r="G63" s="10"/>
      <c r="H63" s="10"/>
      <c r="I63" s="10"/>
    </row>
    <row r="64" spans="5:9" ht="12.75">
      <c r="E64" s="10"/>
      <c r="F64" s="10"/>
      <c r="G64" s="10"/>
      <c r="H64" s="10"/>
      <c r="I64" s="10"/>
    </row>
    <row r="65" spans="5:9" ht="12.75">
      <c r="E65" s="10"/>
      <c r="F65" s="10"/>
      <c r="G65" s="10"/>
      <c r="H65" s="10"/>
      <c r="I65" s="10"/>
    </row>
    <row r="66" spans="5:6" ht="12.75">
      <c r="E66" s="10"/>
      <c r="F66" s="10"/>
    </row>
    <row r="67" spans="1:5" ht="12.75">
      <c r="A67" s="10"/>
      <c r="B67" s="10"/>
      <c r="C67" s="10"/>
      <c r="D67" s="10"/>
      <c r="E67" s="10"/>
    </row>
    <row r="68" spans="1:5" ht="12.75">
      <c r="A68" s="10"/>
      <c r="B68" s="10"/>
      <c r="C68" s="10"/>
      <c r="D68" s="10"/>
      <c r="E68" s="10"/>
    </row>
    <row r="69" spans="1:5" ht="12.75">
      <c r="A69" s="10"/>
      <c r="B69" s="10"/>
      <c r="C69" s="10"/>
      <c r="D69" s="10"/>
      <c r="E69" s="10"/>
    </row>
  </sheetData>
  <sheetProtection/>
  <mergeCells count="11">
    <mergeCell ref="J37:K37"/>
    <mergeCell ref="H4:I4"/>
    <mergeCell ref="J4:K4"/>
    <mergeCell ref="E60:F60"/>
    <mergeCell ref="G59:H59"/>
    <mergeCell ref="G4:G5"/>
    <mergeCell ref="G37:G38"/>
    <mergeCell ref="H37:I37"/>
    <mergeCell ref="A4:A5"/>
    <mergeCell ref="B4:C4"/>
    <mergeCell ref="D4:E4"/>
  </mergeCells>
  <printOptions/>
  <pageMargins left="0.49" right="0.35" top="0.23" bottom="1" header="0.5" footer="0.5"/>
  <pageSetup fitToHeight="1" fitToWidth="1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Алсу</cp:lastModifiedBy>
  <cp:lastPrinted>2013-05-07T05:28:06Z</cp:lastPrinted>
  <dcterms:created xsi:type="dcterms:W3CDTF">1996-10-08T23:32:33Z</dcterms:created>
  <dcterms:modified xsi:type="dcterms:W3CDTF">2013-05-07T05:28:34Z</dcterms:modified>
  <cp:category/>
  <cp:version/>
  <cp:contentType/>
  <cp:contentStatus/>
</cp:coreProperties>
</file>