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ТСН-2001'!$28:$28</definedName>
    <definedName name="_xlnm.Print_Area" localSheetId="0">'Смета по ТСН-2001'!$A$1:$K$590</definedName>
  </definedNames>
  <calcPr fullCalcOnLoad="1"/>
</workbook>
</file>

<file path=xl/sharedStrings.xml><?xml version="1.0" encoding="utf-8"?>
<sst xmlns="http://schemas.openxmlformats.org/spreadsheetml/2006/main" count="5073" uniqueCount="684">
  <si>
    <t>Smeta.ru  (495) 974-1589</t>
  </si>
  <si>
    <t>_PS_</t>
  </si>
  <si>
    <t>Smeta.ru</t>
  </si>
  <si>
    <t>ООО "ГорИнжПроект"  Доп. раб. место  FStS-0042183</t>
  </si>
  <si>
    <t>Новый объект</t>
  </si>
  <si>
    <t>13-55-111_1 ТВ камера_ОККМ_КАБ КАНАЛ_асф )</t>
  </si>
  <si>
    <t/>
  </si>
  <si>
    <t>79/12-ИТС.АСУДД-Р.СТ-06.ТО-2.197.ВО</t>
  </si>
  <si>
    <t>ТСН-2001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</si>
  <si>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</si>
  <si>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</si>
  <si>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</si>
  <si>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 [13-55-3296_1 ТВ камера_ОККМ_КАБ КАНАЛ_асф]</t>
  </si>
  <si>
    <t>Поправки для ТСН-2001</t>
  </si>
  <si>
    <t>Новая локальная смета</t>
  </si>
  <si>
    <t>{E303F5B8-8E87-48FE-8119-ED008244DCB0}</t>
  </si>
  <si>
    <t>Новый раздел</t>
  </si>
  <si>
    <t>Демонтажные работы</t>
  </si>
  <si>
    <t>{75D8A1E7-336A-4B9C-BF60-A8BFCBF0F66F}</t>
  </si>
  <si>
    <t>1</t>
  </si>
  <si>
    <t>4.8-235-2</t>
  </si>
  <si>
    <t>ДЕМОНТАЖ СВЕТОВЫХ СИГНАЛЬНЫХ ПРИБОРОВ, СВЕТОФОР С КОЛИЧЕСТВОМ ЛАМП ДО 3, УСТАНАВЛИВАЕМЫЙ НА КОНСТРУКЦИИ НА СТЕНЕ, КОЛОННЕ ИЛИ БАЛКЕ</t>
  </si>
  <si>
    <t>шт.</t>
  </si>
  <si>
    <t>ТСН-2001.4. База. Сб.8, т.235, поз.2</t>
  </si>
  <si>
    <t>Поправка: 4/16  Наименование:  Демонтаж для оборудования, предназначенного для дальнейшего использования, без консервации и упаковки – 0,4.</t>
  </si>
  <si>
    <t>)*0</t>
  </si>
  <si>
    <t>)*0,4</t>
  </si>
  <si>
    <t>Монтаж оборудования</t>
  </si>
  <si>
    <t>ТСН-2001.4-8. 8-188...8-272</t>
  </si>
  <si>
    <t>ТСН-2001.4-8-18</t>
  </si>
  <si>
    <t>Поправка: 4/16</t>
  </si>
  <si>
    <t>2</t>
  </si>
  <si>
    <t>6.52-1-2</t>
  </si>
  <si>
    <t>РАЗБОРКА ФУНДАМЕНТОВ БЕТОННЫХ</t>
  </si>
  <si>
    <t>м3</t>
  </si>
  <si>
    <t>ТСН-2001.6. База. Сб.52, т.1, поз.2</t>
  </si>
  <si>
    <t>Ремонтно-строительные работы</t>
  </si>
  <si>
    <t>ТСН-2001.6-52. 52-1</t>
  </si>
  <si>
    <t>ТСН-2001.6-52-1</t>
  </si>
  <si>
    <t>3</t>
  </si>
  <si>
    <t>3.33-31-3</t>
  </si>
  <si>
    <t>ДЕМОНТАЖ КОЛОНОК</t>
  </si>
  <si>
    <t>опора</t>
  </si>
  <si>
    <t>ТСН-2001.3. База. Сб.33, т.31, поз.3</t>
  </si>
  <si>
    <t>Строительные работы</t>
  </si>
  <si>
    <t>ТСН-2001.3-33. 33-1...33-36</t>
  </si>
  <si>
    <t>ТСН-2001.3-33-1</t>
  </si>
  <si>
    <t>4</t>
  </si>
  <si>
    <t>4.10-69-6</t>
  </si>
  <si>
    <t>ДЕМОНТАЖ ДВП</t>
  </si>
  <si>
    <t>ТСН-2001.4. База. Сб.10, т.69, поз.6</t>
  </si>
  <si>
    <t>ТСН-2001.4-10. 10-1...10-91</t>
  </si>
  <si>
    <t>ТСН-2001.4-10-1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</si>
  <si>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</si>
  <si>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</si>
  <si>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</si>
  <si>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</si>
  <si>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</si>
  <si>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</si>
  <si>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</si>
  <si>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</si>
  <si>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</si>
  <si>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</si>
  <si>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</si>
  <si>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</si>
  <si>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</si>
  <si>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</si>
  <si>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</si>
  <si>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</si>
  <si>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</si>
  <si>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</si>
  <si>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</si>
  <si>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</si>
  <si>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</si>
  <si>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</si>
  <si>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</si>
  <si>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</si>
  <si>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</si>
  <si>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</si>
  <si>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Монтажные работы</t>
  </si>
  <si>
    <t>{6CCB5AAB-4245-42DE-8242-96BC94DE550B}</t>
  </si>
  <si>
    <t>5</t>
  </si>
  <si>
    <t>4.8-187-2</t>
  </si>
  <si>
    <t>ЗАЗЕМЛЯЮЩИЕ ПРОВОДНИКИ, ЗАЗЕМЛИТЕЛЬ ГОРИЗОНТАЛЬНЫЙ В ТРАНШЕЕ ИЗ: ПОЛОСОВОЙ СТАЛИ, СЕЧЕНИЕ 160 ММ2</t>
  </si>
  <si>
    <t>100 м</t>
  </si>
  <si>
    <t>ТСН-2001.4. База. Сб.8, т.187, поз.2</t>
  </si>
  <si>
    <t>ТСН-2001.4-8. 8-185...8-187</t>
  </si>
  <si>
    <t>ТСН-2001.4-8-17</t>
  </si>
  <si>
    <t>6</t>
  </si>
  <si>
    <t>4.8-186-1</t>
  </si>
  <si>
    <t>ЗАЗЕМЛИТЕЛИ ВЕРТИКАЛЬНЫЕ, ЗАЗЕМЛИТЕЛЬ ИЗ СТАЛИ УГЛОВОЙ, РАЗМЕР: 50Х50Х5 ММ</t>
  </si>
  <si>
    <t>10 шт.</t>
  </si>
  <si>
    <t>ТСН-2001.4. База. Сб.8, т.186, поз.1</t>
  </si>
  <si>
    <t>7</t>
  </si>
  <si>
    <t>4.8-143-1</t>
  </si>
  <si>
    <t>КОМПЛЕКТ КРЕПЛЕНИЯ СВЕТОФОРА НА ОПОРУ</t>
  </si>
  <si>
    <t>ТСН-2001.4. База. Сб.8, т.143, поз.1</t>
  </si>
  <si>
    <t>ТСН-2001.4-8. 8-141...8-153</t>
  </si>
  <si>
    <t>ТСН-2001.4-8-14</t>
  </si>
  <si>
    <t>8</t>
  </si>
  <si>
    <t>СВЕТОВЫЕ СИГНАЛЬНЫЕ ПРИБОРЫ, СВЕТОФОР С КОЛИЧЕСТВОМ ЛАМП ДО 3, УСТАНАВЛИВАЕМЫЙ НА КОНСТРУКЦИИ НА СТЕНЕ, КОЛОННЕ ИЛИ БАЛКЕ</t>
  </si>
  <si>
    <t>9</t>
  </si>
  <si>
    <t>4.11-1-3</t>
  </si>
  <si>
    <t>КОНСТРУКЦИИ ДЛЯ УСТАНОВКИ ПРИБОРОВ И СРЕДСТВ АВТОМАТИЗАЦИИ МАССОЙ: ДО 3 КГ</t>
  </si>
  <si>
    <t>ТСН-2001.4. База. Сб.11, т.1, поз.3</t>
  </si>
  <si>
    <t>ТСН-2001.4-11. 11-1...11-30</t>
  </si>
  <si>
    <t>ТСН-2001.4-11-1</t>
  </si>
  <si>
    <t>10</t>
  </si>
  <si>
    <t>4.10-70-22</t>
  </si>
  <si>
    <t>АППАРАТУРА ЦВЕТНОГО ТЕЛЕВИДЕНИЯ: КАМЕРА ТЕЛЕВИЗИОННАЯ ПЕРЕДАЮЩАЯ</t>
  </si>
  <si>
    <t>ТСН-2001.4. База. Сб.10, т.70, поз.22</t>
  </si>
  <si>
    <t>11</t>
  </si>
  <si>
    <t>3.18-8-1</t>
  </si>
  <si>
    <t>УСТАНОВКА БАКОВ РАСШИРИТЕЛЬНЫХ КРУГЛЫХ И ПРЯМОУГОЛЬНЫХ ВМЕСТИМОСТЬЮ, М3 ДО: 0,1</t>
  </si>
  <si>
    <t>ТСН-2001.3. База. Сб.18, т.8, поз.1</t>
  </si>
  <si>
    <t>ТСН-2001.3-18. 18-1...18-21</t>
  </si>
  <si>
    <t>ТСН-2001.3-18-1</t>
  </si>
  <si>
    <t>12</t>
  </si>
  <si>
    <t>4.0-2-2</t>
  </si>
  <si>
    <t>ВЕРТИКАЛЬНОЕ ПЕРЕМЕЩЕНИЕ ОБОРУДОВАНИЯ И МАТЕРИАЛЬНЫХ РЕСУРСОВ, СВЕРХ ПРЕДУСМОТРЕННОГО СБОРНИКОМ 1 М, НА ВЫСОТУ ДО 10 М</t>
  </si>
  <si>
    <t>т</t>
  </si>
  <si>
    <t>ТСН-2001.4. База. Сб.0, т.2, поз.2</t>
  </si>
  <si>
    <t>ТСН-2001.4-0. 0-1...0-4</t>
  </si>
  <si>
    <t>ТСН-2001.4-0-1</t>
  </si>
  <si>
    <t>13</t>
  </si>
  <si>
    <t>4.10-75-1</t>
  </si>
  <si>
    <t>ШКАФ ИЛИ СТАТИВ (СТОЙКА) МАССОЙ: ДО 100 КГ</t>
  </si>
  <si>
    <t>ТСН-2001.4. База. Сб.10, т.75, поз.1</t>
  </si>
  <si>
    <t>14</t>
  </si>
  <si>
    <t>4.11-12-1</t>
  </si>
  <si>
    <t>СЪЕМНЫЕ И ВЫДВИЖНЫЕ БЛОКИ (МОДУЛИ, ЯЧЕЙКИ, ТЭЗ), МАССА: ДО 0,005 Т (ОПТИЧЕСКИЙ КРОСС)</t>
  </si>
  <si>
    <t>ТСН-2001.4. База. Сб.11, т.12, поз.1</t>
  </si>
  <si>
    <t>15</t>
  </si>
  <si>
    <t>4.8-218-1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</si>
  <si>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t>
  </si>
  <si>
    <t>ТСН-2001.4. База. Сб.8, т.218, поз.1</t>
  </si>
  <si>
    <t>)*0,8</t>
  </si>
  <si>
    <t>16</t>
  </si>
  <si>
    <t>4.8-172-1</t>
  </si>
  <si>
    <t>ТРУБЫ ВИНИПЛАСТОВЫЕ ПО УСТАНОВЛЕННЫМ КОНСТРУКЦИЯМ, ПО СТЕНАМ И КОЛОННАМ С КРЕПЛЕНИЕМ СКОБАМИ, ВНУТРЕННИЙ ДИАМЕТР, ММ, ДО: 25</t>
  </si>
  <si>
    <t>ТСН-2001.4. Доп.5. Сб.8, т.172, поз.1</t>
  </si>
  <si>
    <t>ТСН-2001.4-8. 8-155...8-184</t>
  </si>
  <si>
    <t>ТСН-2001.4-8-16</t>
  </si>
  <si>
    <t>17</t>
  </si>
  <si>
    <t>4.8-175-2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</si>
  <si>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6 ММ2</t>
  </si>
  <si>
    <t>ТСН-2001.4. Доп.15. Сб.8, т.175, поз.2</t>
  </si>
  <si>
    <t>18</t>
  </si>
  <si>
    <t>4.8-80-1</t>
  </si>
  <si>
    <t>КАБЕЛИ ДО 35 КВ В ПРОЛОЖЕННЫХ ТРУБАХ, БЛОКАХ И КОРОБАХ, КАБЕЛЬ, МАССА 1 М: ДО 1 КГ</t>
  </si>
  <si>
    <t>ТСН-2001.4. База. Сб.8, т.80, поз.1</t>
  </si>
  <si>
    <t>ТСН-2001.4-8. 8-73...8-80</t>
  </si>
  <si>
    <t>ТСН-2001.4-8-3</t>
  </si>
  <si>
    <t>19</t>
  </si>
  <si>
    <t>4.8-79-10</t>
  </si>
  <si>
    <t>КАБЕЛИ ДО 35 КВ, ПРОКЛАДЫВАЕМЫЕ ПО УСТАНОВЛЕННЫМ КОНСТРУКЦИЯМ И ЛОТКАМ, КАБЕЛЬ С КРЕПЛЕНИЕМ ПО ВСЕЙ ДЛИНЕ, МАССА 1 М: ДО 1 КГ</t>
  </si>
  <si>
    <t>ТСН-2001.4. База. Сб.8, т.79, поз.10</t>
  </si>
  <si>
    <t>20</t>
  </si>
  <si>
    <t>4.10-120-2</t>
  </si>
  <si>
    <t>ПРОТЯГИВАНИЕ ОПТИЧЕСКОГО КАБЕЛЯ ГТС ПО ЗАНЯТОМУ КАНАЛУ ТРУБОПРОВОДА</t>
  </si>
  <si>
    <t>ТСН-2001.4. База. Сб.10, т.120, поз.2</t>
  </si>
  <si>
    <t>ТСН-2001.4-10. 10-119, 10-120, 10-121-1...10-121-7</t>
  </si>
  <si>
    <t>ТСН-2001.4-10-6</t>
  </si>
  <si>
    <t>21</t>
  </si>
  <si>
    <t>4.8-89-14</t>
  </si>
  <si>
    <t>ЗАДЕЛКИ КОНЦЕВЫЕ СУХИЕ ДЛЯ 3-4-ЖИЛЬНОГО КАБЕЛЯ С ПЛАСТМАССОВОЙ И РЕЗИНОВОЙ ИЗОЛЯЦИЕЙ НАПРЯЖЕНИЕМ ДО 1 КВ, СЕЧЕНИЕ ОДНОЙ ЖИЛЫ ДО 35 ММ2</t>
  </si>
  <si>
    <t>ТСН-2001.4. База. Сб.8, т.89, поз.14</t>
  </si>
  <si>
    <t>ТСН-2001.4-8. 8-84...8-94</t>
  </si>
  <si>
    <t>ТСН-2001.4-8-5</t>
  </si>
  <si>
    <t>22</t>
  </si>
  <si>
    <t>4.11-13-1</t>
  </si>
  <si>
    <t>РАЗЪЕМ ШТЕПСЕЛЬНЫЙ С РАЗДЕЛКОЙ И ВКЛЮЧЕНИЕМ ЭКРАНИРОВАННОГО КАБЕЛЯ, СЕЧЕНИЕ ЖИЛЫ ДО 1 ММ2, КОЛИЧЕСТВО ПОДКЛЮЧАЕМЫХ ЖИЛ ДО 14</t>
  </si>
  <si>
    <t>ТСН-2001.4. База. Сб.11, т.13, поз.1</t>
  </si>
  <si>
    <t>23</t>
  </si>
  <si>
    <t>4.10-139-1</t>
  </si>
  <si>
    <t>РАЗНЫЕ РАБОТЫ: РАЗДЕЛКА КОАКСИАЛЬНОГО ТВ КАБЕЛЯ В РАЗЪЕМЫ И ПОДКЛЮЧЕНИЕ К ОБОРУДОВАНИЮ, ДИАМЕТР ОБОЛОЧКИ КАБЕЛЯ ДО 20 ММ</t>
  </si>
  <si>
    <t>конец кабеля</t>
  </si>
  <si>
    <t>ТСН-2001.4. База. Сб.10, т.139, поз.1</t>
  </si>
  <si>
    <t>ТСН-2001.4-10. 10-134...10-139</t>
  </si>
  <si>
    <t>ТСН-2001.4-10-16</t>
  </si>
  <si>
    <t>24</t>
  </si>
  <si>
    <t>4.10-123-1</t>
  </si>
  <si>
    <t>ИЗМЕРЕНИЕ ЗАТУХАНИЯ НА КАБЕЛЬНОЙ ПЛОЩАДКЕ ОПТИЧЕСКОГО КАБЕЛЯ ГТС С ЧИСЛОМ ВОЛОКОН 4</t>
  </si>
  <si>
    <t>кабель</t>
  </si>
  <si>
    <t>ТСН-2001.4. База. Сб.10, т.123, поз.1</t>
  </si>
  <si>
    <t>ТСН-2001.4-10. 10-123-1...10-123-28</t>
  </si>
  <si>
    <t>ТСН-2001.4-10-10</t>
  </si>
  <si>
    <t>25</t>
  </si>
  <si>
    <t>4.10-123-15</t>
  </si>
  <si>
    <t>ИЗМЕРЕНИЕ НА СМОНТИРОВАННОМ УЧАСТКЕ ОПТИЧЕСКОГО КАБЕЛЯ ГТС В ДВУХ НАПРАВЛЕНИЯХ С ЧИСЛОМ ВОЛОКОН 4</t>
  </si>
  <si>
    <t>участок цепи</t>
  </si>
  <si>
    <t>ТСН-2001.4. База. Сб.10, т.123, поз.15</t>
  </si>
  <si>
    <t>Поправка: 4.10-123-15/1  Наименование:  Стоимость измерений на смонтированном участке в двух направлениях</t>
  </si>
  <si>
    <t>)*2</t>
  </si>
  <si>
    <t>Поправка: 4.10-123-15/1</t>
  </si>
  <si>
    <t>26</t>
  </si>
  <si>
    <t>ИЗМЕРЕНИЕ НА ПРОЛОЖЕННЫХ СТРОИТЕЛЬНЫХ  ДЛИНАХ ОПТИЧЕСКОГО КАБЕЛЯ ГТС  С ЧИСЛОМ ВОЛОКОН 4</t>
  </si>
  <si>
    <t>Поправка: 4.10-123-15/2  Наименование:  Измерения на проложенных строительных длинах</t>
  </si>
  <si>
    <t>)*0,9</t>
  </si>
  <si>
    <t>Поправка: 4.10-123-15/2</t>
  </si>
  <si>
    <t>27</t>
  </si>
  <si>
    <t>МОНТАЖ ДВП</t>
  </si>
  <si>
    <t>28</t>
  </si>
  <si>
    <t>2.1-4-18</t>
  </si>
  <si>
    <t>ВЫШКИ ТЕЛЕСКОПИЧЕСКИЕ НА АВТОМОБИЛЕ, ВЫСОТА ДО 12 М, ГPУЗОПОДЪЕМНОСТЬ ДО 250 КГ</t>
  </si>
  <si>
    <t>маш.-ч</t>
  </si>
  <si>
    <t>ТСН-2001.2. База. п.1-4-18 (042001)</t>
  </si>
  <si>
    <t>Механизмы</t>
  </si>
  <si>
    <t>ТСН-2001. Машины и механизмы</t>
  </si>
  <si>
    <t>ТСН-2001.2</t>
  </si>
  <si>
    <t>Материалы , не учтенные сборниками</t>
  </si>
  <si>
    <t>{A2AB40F0-DCFB-4E4A-83AD-E0E4EA0E221A}</t>
  </si>
  <si>
    <t>29</t>
  </si>
  <si>
    <t>1.21-5-858</t>
  </si>
  <si>
    <t>ШИНЫ ЗАЗЕМЛЕНИЯ, ТОК 63 А, ДЛИНА 95 ММ, ОТВЕРСТИЙ 12 ШТУК, ТИП РЕ95.63.12</t>
  </si>
  <si>
    <t>ТСН-2001.1. База. Р.21, о.5, поз.858</t>
  </si>
  <si>
    <t>Материалы монтажные</t>
  </si>
  <si>
    <t>ТСН-2001.1 Материалы монтажные</t>
  </si>
  <si>
    <t>ТСН-2001.1-2</t>
  </si>
  <si>
    <t>30</t>
  </si>
  <si>
    <t>ЦЕНА ПОСТ</t>
  </si>
  <si>
    <t>СТОЙКА МЕТАЛЛИЧЕСКАЯ ВЫСОТОЙ 10 М ДЛЯ РАЗМЕЩЕНИЯ ПЕРИФЕРИЙНОГО ОБОРУДОВАНИЯ СТ (ЦЕНА: 86000,00 / 1,18/4,26 * 1,02 = 17450,47 РУБ.)</t>
  </si>
  <si>
    <t>КОМПЛ</t>
  </si>
  <si>
    <t>Прочие работы</t>
  </si>
  <si>
    <t>МЦЦС</t>
  </si>
  <si>
    <t>31</t>
  </si>
  <si>
    <t>БЛОК ДВП (ЦЕНА: 7372,88 / 1,18/4,26 * 1,02 = 1496,05 РУБ.)</t>
  </si>
  <si>
    <t>32</t>
  </si>
  <si>
    <t>1.12-5-371</t>
  </si>
  <si>
    <t>ТРУБЫ ЭЛЕКТРОТЕХНИЧЕСКИЕ ГОФРИРОВАННЫЕ, ПОЛИВИНИЛХЛОРИДНЫЕ, НЕГОРЮЧИЕ, С ЗОНДОМ, НАРУЖНЫЙ ДИАМЕТР 16 ММ</t>
  </si>
  <si>
    <t>м</t>
  </si>
  <si>
    <t>ТСН-2001.1. База. Р.12, о.5, поз.371</t>
  </si>
  <si>
    <t>Материалы строительные</t>
  </si>
  <si>
    <t>ТСН-2001.1 Материалы строительные</t>
  </si>
  <si>
    <t>ТСН-2001.1-1</t>
  </si>
  <si>
    <t>33</t>
  </si>
  <si>
    <t>1.12-5-372</t>
  </si>
  <si>
    <t>ТРУБЫ ЭЛЕКТРОТЕХНИЧЕСКИЕ ГОФРИРОВАННЫЕ, ПОЛИВИНИЛХЛОРИДНЫЕ, НЕГОРЮЧИЕ, С ЗОНДОМ, НАРУЖНЫЙ ДИАМЕТР 20 ММ</t>
  </si>
  <si>
    <t>ТСН-2001.1. База. Р.12, о.5, поз.372</t>
  </si>
  <si>
    <t>34</t>
  </si>
  <si>
    <t>1.23-8-88</t>
  </si>
  <si>
    <t>КАБЕЛИ СИЛОВЫЕ С МЕДНЫМИ ЖИЛАМИ С ПОЛИВИНИЛХЛОРИДНОЙ ИЗОЛЯЦИЕЙ В ОБОЛОЧКЕ ИЗ ПОЛИВИНИЛХЛОРИДНОГО ПЛАСТИКАТА ПОНИЖЕННОЙ ГОРЮЧЕСТИ, НАПРЯЖЕНИЕ 660 В, МАРКА ВВГНГ, ЧИСЛО ЖИЛ И СЕЧЕНИЕ 3Х2,5 ММ2</t>
  </si>
  <si>
    <t>км</t>
  </si>
  <si>
    <t>ТСН-2001.1. База. Р.23, о.8, поз.88</t>
  </si>
  <si>
    <t>35</t>
  </si>
  <si>
    <t>1.23-4-337</t>
  </si>
  <si>
    <t>КАБЕЛИ МАГИСТРАЛЬНЫЕ (ВИТАЯ ПАРА) НЕЭКРАНИРОВАННЫЕ ОДНОЖИЛЬНЫЕ, КАТЕГОРИЯ 5Е ENHANCED, ПРОИЗВОДСТВО ФИРМЫ 'АЕSP', ТИП UTP, ЧИСЛО ЭЛЕМЕНТОВ И ДИАМЕТР ЖИЛЫ, ММ: 4Х2Х0,51(AWG 24)</t>
  </si>
  <si>
    <t>ТСН-2001.1. База. Р.23, о.4, поз.337</t>
  </si>
  <si>
    <t>36</t>
  </si>
  <si>
    <t>1.23-4-355</t>
  </si>
  <si>
    <t>КАБЕЛИ ВЫСОКОЧАСТОТНЫЕ С МЕДНЫМИ ЖИЛАМИ С ПОЛИЭТИЛЕНОВОЙ ИЗОЛЯЦИЕЙ В ОБОЛОЧКЕ ИЗ ПОЛИВИНИЛХЛОРИДНОГО ПЛАСТИКАТА, БЕЗ ЭКРАНА, МАРКА КВП (PARLAN U/UTP) CAT 5E, ЧИСЛО ЭЛЕМЕНТОВ И ДИАМЕТР ЖИЛЫ, ММ:1Х2Х0,52</t>
  </si>
  <si>
    <t>ТСН-2001.1. Доп.18. Р.23, о.4, поз.355</t>
  </si>
  <si>
    <t>37</t>
  </si>
  <si>
    <t>1.21-5-32</t>
  </si>
  <si>
    <t>ВЫКЛЮЧАТЕЛИ АВТОМАТИЧЕСКИЕ ОДНОПОЛЮСНЫЕ, НА ТОК ДО 25 А, ТИП А63-МГ, А63-М</t>
  </si>
  <si>
    <t>ТСН-2001.1. База. Р.21, о.5, поз.32</t>
  </si>
  <si>
    <t>38</t>
  </si>
  <si>
    <t>1.21-5-1134</t>
  </si>
  <si>
    <t>ХОМУТЫ (СТЯЖКИ) КАБЕЛЬНЫЕ ИЗ ПОЛИАМИДА, РАЗМЕРЫ 4,8Х300 ММ</t>
  </si>
  <si>
    <t>100 шт.</t>
  </si>
  <si>
    <t>ТСН-2001.1. Доп.16. Р.21, о.5, поз.1134</t>
  </si>
  <si>
    <t>39</t>
  </si>
  <si>
    <t>1.21-5-1098</t>
  </si>
  <si>
    <t>КОМПЛЕКТЫ КРЕПЛЕНИЯ СВЕТОФОРОВ НА ОПОРУ, С ХОМУТАМИ (2 ШТ.)</t>
  </si>
  <si>
    <t>компл.</t>
  </si>
  <si>
    <t>ТСН-2001.1. Доп.13. Р.21, о.5, поз.1098</t>
  </si>
  <si>
    <t>40</t>
  </si>
  <si>
    <t>1.14-1-207</t>
  </si>
  <si>
    <t>КОННЕКТОРЫ, РАЗЪЕМЫ, ПЕРЕХОДНИКИ ТИП FC</t>
  </si>
  <si>
    <t>ТСН-2001.1. База. Р.14, о.1, поз.207</t>
  </si>
  <si>
    <t>41</t>
  </si>
  <si>
    <t>КАБЕЛЬ РК 75-3,7-36Ф (ЦЕНА: 9,50 / 1,18/4,26 * 1,02 = 1,93 РУБ.)</t>
  </si>
  <si>
    <t>42</t>
  </si>
  <si>
    <t>КАБЕЛЬ ОККМ-01-1Х4Е3-2,7 КН (ЦЕНА: 36,57 / 1,18/4,26 * 1,02 = 7,42 РУБ.)</t>
  </si>
  <si>
    <t>43</t>
  </si>
  <si>
    <t>ПАТЧ-КОРД DUPLEX 9/125 MKM LC-FC = 1.5 M (ЦЕНА: 192,00 / 1,18/4,26 * 1,02 = 38,96 РУБ.)</t>
  </si>
  <si>
    <t>ШТ</t>
  </si>
  <si>
    <t>44</t>
  </si>
  <si>
    <t>БИРКИ МАРКИРОВОЧНЫЕ 100 ШТ (ЦЕНА: 792,41 / 1,18/4,26 * 1,02 = 160,79 РУБ.)</t>
  </si>
  <si>
    <t>УПАК</t>
  </si>
  <si>
    <t>Оборудование</t>
  </si>
  <si>
    <t>{D98EDC8A-D1A8-427C-A722-3B1FBADFAD1D}</t>
  </si>
  <si>
    <t>45</t>
  </si>
  <si>
    <t>ТЕЛЕКАМЕРА ПОВОРОТНАЯ НА 360  ГРАДУСОВ (10ХZOOM, 230 В, PAL, ПЛАТА ТРЕВОГ, КРОНШТЕЙН UPTWBA+PTCC, БАК ОМЫВАТЕЛЯ НА 5 Л С КРЕПЛЕНИЕМ НА СТОЙКУ, НАСОС С НАПОРОМ НА 5 М)  ULISSE COMPACT (ЦЕНА: 209151,52/ 1,18/2,75 * 1,03*1,012 = 67183,72 РУБ.)</t>
  </si>
  <si>
    <t>46</t>
  </si>
  <si>
    <t>ГЕРМОШКАФ УПРАВЛЕНИЯ ВСЕПОГОДНЫЙ ДЛЯ ПОВОРОТНОЙ УЛИЧНОЙ ВИДЕОКАМЕРЫ С ОМЫВАТЕЛЕМ В КОМПЛЕКТЕ С МОНТАЖНЫМИ КРЕПЛЕНИЯМИ (ЦЕНА: 189694,00 / 1,18/2,75 * 1,03*1,012 = 60933,57 РУБ.)</t>
  </si>
  <si>
    <t>47</t>
  </si>
  <si>
    <t>КРОСС ОПТИЧЕСКИЙ НА 4 ПОРТА НА 1 ТВ КАМЕРУ KOH-FC/SM-4-4 (ЦЕНА: 456,00 / 1,18/2,75 * 1,03*1,012 = 146,48 РУБ.)</t>
  </si>
  <si>
    <t>{F2A413D5-0873-4A19-AEA6-D3AACBDB8115}</t>
  </si>
  <si>
    <t>48</t>
  </si>
  <si>
    <t>3.27-36-1</t>
  </si>
  <si>
    <t>НАРЕЗКА ШВОВ В ДОРОЖНЫХ, АСФАЛЬТОБЕТОННЫХ И БЕТОННЫХ ПОКРЫТИЯХ С ПРИМЕНЕНИЕМ ДИСКОВ С АЛМАЗНЫМ ПОКРЫТИЕМ НА ГЛУБИНУ 200 ММ</t>
  </si>
  <si>
    <t>ТСН-2001.3. База. Сб.27, т.36, поз.1</t>
  </si>
  <si>
    <t>Поправка: 3/4  Наименование:  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</si>
  <si>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)*1,15</t>
  </si>
  <si>
    <t>ТСН-2001.3-27. 27-31...27-37</t>
  </si>
  <si>
    <t>ТСН-2001.3-27-8</t>
  </si>
  <si>
    <t>Поправка: 3/4</t>
  </si>
  <si>
    <t>48,1</t>
  </si>
  <si>
    <t>1.7-3-66</t>
  </si>
  <si>
    <t>ДИСК ОТРЕЗНОЙ С АЛМАЗНЫМ ПОКРЫТИЕМ 'HILTI' DC-D C1, ДИАМЕТР 180 ММ</t>
  </si>
  <si>
    <t>ТСН-2001.1. База. Р.7, о.3, поз.66</t>
  </si>
  <si>
    <t>49</t>
  </si>
  <si>
    <t>6.68-51-4</t>
  </si>
  <si>
    <t>РАЗБОРКА ПОКРЫТИЙ И ОСНОВАНИЙ АСФАЛЬТОБЕТОННЫХ</t>
  </si>
  <si>
    <t>100 м3</t>
  </si>
  <si>
    <t>ТСН-2001.6. База. Сб.68, т.51, поз.4</t>
  </si>
  <si>
    <t>ТСН-2001.6-68. 68-51...68-53</t>
  </si>
  <si>
    <t>ТСН-2001.6-68-21</t>
  </si>
  <si>
    <t>50</t>
  </si>
  <si>
    <t>6.68-51-5</t>
  </si>
  <si>
    <t>РАЗБОРКА ПОКРЫТИЙ И ОСНОВАНИЙ ЦЕМЕНТОБЕТОННЫХ</t>
  </si>
  <si>
    <t>ТСН-2001.6. База. Сб.68, т.51, поз.5</t>
  </si>
  <si>
    <t>51</t>
  </si>
  <si>
    <t>3.1-52-3</t>
  </si>
  <si>
    <t>КОПАНИЕ ЯМ ВРУЧНУЮ БЕЗ КРЕПЛЕНИЙ ДЛЯ СТОЕК И СТОЛБОВ С ОТКОСАМИ ГЛУБИНОЙ ДО 1,5 М ГРУППА ГРУНТОВ 1-3</t>
  </si>
  <si>
    <t>ТСН-2001.3. База. Сб.1, т.52, поз.3</t>
  </si>
  <si>
    <t>Поправка: 3.1-52/3  Наименование:  Разработка грунта в местах, находящихся на расстоянии до 1 м от кабелей, проложенных в трубопроводах или коробах, а также от водопроводных и канализационных труб.</t>
  </si>
  <si>
    <t>ТСН-2001.3-1. 1-49...1-55</t>
  </si>
  <si>
    <t>ТСН-2001.3-1-15</t>
  </si>
  <si>
    <t>Поправка: 3.1-52/3</t>
  </si>
  <si>
    <t>52</t>
  </si>
  <si>
    <t>3.1-53-1</t>
  </si>
  <si>
    <t>ЗАСЫПКА ВРУЧНУЮ ТРАНШЕЙ, ПАЗУХ КОТЛОВАНОВ И ЯМ ГРУППА ГРУНТОВ 1-3</t>
  </si>
  <si>
    <t>ТСН-2001.3. База. Сб.1, т.53, поз.1</t>
  </si>
  <si>
    <t>53</t>
  </si>
  <si>
    <t>6.51-6-1</t>
  </si>
  <si>
    <t>ПОГРУЗКА ГРУНТА ВРУЧНУЮ В АВТОМОБИЛИ-САМОСВАЛЫ С ВЫГРУЗКОЙ</t>
  </si>
  <si>
    <t>ТСН-2001.6. База. Сб.51, т.6, поз.1</t>
  </si>
  <si>
    <t>ТСН-2001.6-51. 51-6</t>
  </si>
  <si>
    <t>ТСН-2001.6-51-4</t>
  </si>
  <si>
    <t>54</t>
  </si>
  <si>
    <t>15.1-35-1</t>
  </si>
  <si>
    <t>ПЕРЕВОЗКА ГРУНТА ИЗ-ПОД ЗДАНИЙ И КОММУНИКАЦИЙ НА РАССТОЯНИЕ 35 КМ АВТОСАМОСВАЛАМИ ГРУЗОПОДЪЕМНОСТЬЮ ДО 16Т, ПЕРЕВОЗКА ДО 35 КМ</t>
  </si>
  <si>
    <t>ТСН-2001.15. База. Сб.1, т.35, поз.1</t>
  </si>
  <si>
    <t>Транспортные затраты</t>
  </si>
  <si>
    <t>ТСН-2001.15-1. Перевозка грунта</t>
  </si>
  <si>
    <t>ТСН-2001.15-1-3</t>
  </si>
  <si>
    <t>55</t>
  </si>
  <si>
    <t>15.1-0-5</t>
  </si>
  <si>
    <t>РАЗМЕЩЕНИЕ ГРУНТОВ, ПОЛУЧЕННЫХ В РЕЗУЛЬТАТЕ ПРОИЗВОДСТВА ЗЕМЛЯНЫХ РАБОТ, НЕ ИСПОЛЬЗУЕМЫХ ДЛЯ ОБРАТНОЙ ЗАСЫПКИ: ГРУНТЫ ЭКОЛОГИЧЕСКИ ЧИСТЫЕ</t>
  </si>
  <si>
    <t>ТСН-2001.15. Доп.10. Сб.1, т.0, поз.5</t>
  </si>
  <si>
    <t>ТСН-2001.15-1. Содержание свалки</t>
  </si>
  <si>
    <t>ТСН-2001.15-1-2</t>
  </si>
  <si>
    <t>56</t>
  </si>
  <si>
    <t>6.68-13-1</t>
  </si>
  <si>
    <t>МЕХАНИЗИРОВАННАЯ ПОГРУЗКА СТРОИТЕЛЬНОГО МУСОРА В АВТОМОБИЛИ-САМОСВАЛЫ</t>
  </si>
  <si>
    <t>ТСН-2001.6. База. Сб.68, т.13, поз.1</t>
  </si>
  <si>
    <t>ТСН-2001.6-68. 68-13</t>
  </si>
  <si>
    <t>ТСН-2001.6-68-5</t>
  </si>
  <si>
    <t>57</t>
  </si>
  <si>
    <t>15.1-35-5</t>
  </si>
  <si>
    <t>ПЕРЕВОЗКА СТРОИТЕЛЬНОГО МУСОРА НА РАССТОЯНИЕ 35 КМ АВТОСАМОСВАЛАМИ ГРУЗОПОДЪЕМНОСТЬЮ ДО 16 Т, ПЕРЕВОЗКА ДО 35 КМ</t>
  </si>
  <si>
    <t>ТСН-2001.15. База. Сб.1, т.35, поз.5</t>
  </si>
  <si>
    <t>ТСН-2001.15-1. Перевозка строительного мусора</t>
  </si>
  <si>
    <t>ТСН-2001.15-1-5</t>
  </si>
  <si>
    <t>58</t>
  </si>
  <si>
    <t>15.1-0-1</t>
  </si>
  <si>
    <t>СОДЕРЖАНИЕ СВАЛКИ ОТХОДОВ СТРОИТЕЛЬСТВА И СНОСА</t>
  </si>
  <si>
    <t>ТСН-2001.15. База. Сб.1, т.0, поз.1</t>
  </si>
  <si>
    <t>59</t>
  </si>
  <si>
    <t>3.27-12-1</t>
  </si>
  <si>
    <t>УСТРОЙСТВО ПОДСТИЛАЮЩИХ И ВЫРАВНИВАЮЩИХ СЛОЕВ ОСНОВАНИЙ ИЗ ПЕСКА</t>
  </si>
  <si>
    <t>ТСН-2001.3. База. Сб.27, т.12, поз.1</t>
  </si>
  <si>
    <t>ТСН-2001.3-27. 27-1...27-21</t>
  </si>
  <si>
    <t>ТСН-2001.3-27-1</t>
  </si>
  <si>
    <t>59,1</t>
  </si>
  <si>
    <t>1.1-1-767</t>
  </si>
  <si>
    <t>ПЕСОК ДЛЯ ДОРОЖНЫХ РАБОТ, РЯДОВОЙ</t>
  </si>
  <si>
    <t>ТСН-2001.1. База. Р.1, о.1, поз.767</t>
  </si>
  <si>
    <t>60</t>
  </si>
  <si>
    <t>3.27-30-1</t>
  </si>
  <si>
    <t>УСТРОЙСТВО ЦЕМЕНТОБЕТОННЫХ ОСНОВАНИЙ ГОРОДСКИХ ПРОЕЗДОВ ТОЛЩИНА СЛОЯ, СМ 16</t>
  </si>
  <si>
    <t>1000 м2</t>
  </si>
  <si>
    <t>ТСН-2001.3. Д.3. Сб.27, т.30, поз.1</t>
  </si>
  <si>
    <t>ТСН-2001.3-27. 27-29, 27-30</t>
  </si>
  <si>
    <t>ТСН-2001.3-27-7</t>
  </si>
  <si>
    <t>60,1</t>
  </si>
  <si>
    <t>1.3-1-36</t>
  </si>
  <si>
    <t>СМЕСИ БЕТОННЫЕ, БСГ, ТЯЖЕЛОГО БЕТОНА НА ГРАНИТНОМ ЩЕБНЕ, КЛАСС ПРОЧНОСТИ: В7,5 (М100); П3, ФРАКЦИЯ 5-20</t>
  </si>
  <si>
    <t>ТСН-2001.1. База. Р.3, о.1, поз.36</t>
  </si>
  <si>
    <t>61</t>
  </si>
  <si>
    <t>3.27-30-2</t>
  </si>
  <si>
    <t>ИСКЛЮЧАТЬ 4 СМ ДО 12 СМ</t>
  </si>
  <si>
    <t>ТСН-2001.3. Д.3. Сб.27, т.30, поз.2</t>
  </si>
  <si>
    <t>)*4</t>
  </si>
  <si>
    <t>)*4)*1,15</t>
  </si>
  <si>
    <t>61,1</t>
  </si>
  <si>
    <t>62</t>
  </si>
  <si>
    <t>3.27-42-1</t>
  </si>
  <si>
    <t>УСТРОЙСТВО ПОКРЫТИЙ ИЗ ГОРЯЧИХ АСФАЛЬТОБЕТОННЫХ СМЕСЕЙ ТОЛЩИНОЙ 4 СМ КОМПЛЕКТОМ МАШИН</t>
  </si>
  <si>
    <t>100 м2</t>
  </si>
  <si>
    <t>ТСН-2001.3. База. Сб.27, т.42, поз.1</t>
  </si>
  <si>
    <t>ТСН-2001.3-27. 27-42...27-46</t>
  </si>
  <si>
    <t>ТСН-2001.3-27-13</t>
  </si>
  <si>
    <t>62,1</t>
  </si>
  <si>
    <t>1.3-3-4</t>
  </si>
  <si>
    <t>СМЕСИ АСФАЛЬТОБЕТОННЫЕ ДОРОЖНЫЕ ГОРЯЧИЕ КРУПНОЗЕРНИСТЫЕ, ТИП II</t>
  </si>
  <si>
    <t>ТСН-2001.1. База. Р.3, о.3, поз.4</t>
  </si>
  <si>
    <t>63</t>
  </si>
  <si>
    <t>3.27-43-1</t>
  </si>
  <si>
    <t>ДОБАВЛЯЕТСЯ 2 СМ ДО 6 СМ</t>
  </si>
  <si>
    <t>ТСН-2001.3. База. Сб.27, т.43, поз.1</t>
  </si>
  <si>
    <t>)*2)*1,15</t>
  </si>
  <si>
    <t>63,1</t>
  </si>
  <si>
    <t>64</t>
  </si>
  <si>
    <t>64,1</t>
  </si>
  <si>
    <t>1.3-3-11</t>
  </si>
  <si>
    <t>СМЕСИ АСФАЛЬТОБЕТОННЫЕ ДОРОЖНЫЕ ГОРЯЧИЕ ПЕСЧАНЫЕ, ТИП Д</t>
  </si>
  <si>
    <t>ТСН-2001.1. База. Р.3, о.3, поз.11</t>
  </si>
  <si>
    <t>65</t>
  </si>
  <si>
    <t>3.33-33-2</t>
  </si>
  <si>
    <t>УСТРОЙСТВО МОНОЛИТНЫХ БЕТОННЫХ ФУНДАМЕНТОВ ЗАГЛУБЛЕННЫХ НА РАЗНЫХ ОТМЕТКАХ С ОПОРОЙ</t>
  </si>
  <si>
    <t>ТСН-2001.3. База. Сб.33, т.33, поз.2</t>
  </si>
  <si>
    <t>65,1</t>
  </si>
  <si>
    <t>1.3-4-2</t>
  </si>
  <si>
    <t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8 ММ</t>
  </si>
  <si>
    <t>ТСН-2001.1. База. Р.3, о.4, поз.2</t>
  </si>
  <si>
    <t>65,2</t>
  </si>
  <si>
    <t>1.3-1-38</t>
  </si>
  <si>
    <t>СМЕСИ БЕТОННЫЕ, БСГ, ТЯЖЕЛОГО БЕТОНА НА ГРАНИТНОМ ЩЕБНЕ, КЛАСС ПРОЧНОСТИ: В15 (М200); П3, ФРАКЦИЯ 5-20, F50-100, W0-2</t>
  </si>
  <si>
    <t>ТСН-2001.1. База. Р.3, о.1, поз.38</t>
  </si>
  <si>
    <t>66</t>
  </si>
  <si>
    <t>3.33-29-11</t>
  </si>
  <si>
    <t>УСТАНОВКА ОПОР КОНТАКТНОЙ СЕТИ, УЛИЧНОГО ОСВЕЩЕНИЯ, СВЕТОФОРНЫХ С БУРЕНИЕМ КОТЛОВАНОВ ПОД МОНОЛИТНЫЕ ФУНДАМЕНТЫ СТАЛЬНЫХ МАССОЙ ДО 1 Т В ГРУППЕ ГРУНТА 2 ПРИ ГЛУБИНЕ БУРЕНИЯ, М 2</t>
  </si>
  <si>
    <t>ТСН-2001.3. Доп.13. Сб.33, т.29, поз.11</t>
  </si>
  <si>
    <t>67</t>
  </si>
  <si>
    <t>3.33-30-11</t>
  </si>
  <si>
    <t>ЗЕМЛЯНЫЕ РАБОТЫ ПРИ УСТАНОВКЕ ОПОР КОНТАКТНОЙ СЕТИ С БУРЕНИЕМ КОТЛОВАНОВ СТАЛЬНЫХ МАССОЙ ДО 1 Т В ГРУППЕ ГРУНТА 2 ПРИ ГЛУБИНЕ БУРЕНИЯ, М 2</t>
  </si>
  <si>
    <t>ТСН-2001.3. База. Сб.33, т.30, поз.11</t>
  </si>
  <si>
    <t>68</t>
  </si>
  <si>
    <t>3.9-44-1</t>
  </si>
  <si>
    <t>ПОСТАНОВКА БОЛТОВ НОРМАЛЬНОЙ ТОЧНОСТИ</t>
  </si>
  <si>
    <t>ТСН-2001.3. База. Сб.9, т.44, поз.1</t>
  </si>
  <si>
    <t>ТСН-2001.3-9. 9-1...9-72</t>
  </si>
  <si>
    <t>ТСН-2001.3-9-1</t>
  </si>
  <si>
    <t>68,1</t>
  </si>
  <si>
    <t>1.1-1-1661</t>
  </si>
  <si>
    <t>БОЛТЫ ДЛЯ МОНТАЖА СТАЛЬНЫХ КОНСТРУКЦИЙ (В КОМПЛЕКТЕ С ГАЙКАМИ И ШАЙБАМИ) ЧЕРНЫЕ, ДИАМЕТР 24-48 ММ, ДЛИНА 55-300 ММ</t>
  </si>
  <si>
    <t>кг</t>
  </si>
  <si>
    <t>ТСН-2001.1. База. Р.1, о.1, поз.1661</t>
  </si>
  <si>
    <t>69</t>
  </si>
  <si>
    <t>3.1-58-2</t>
  </si>
  <si>
    <t>ВОДООТЛИВ ИЗ КОТЛОВАНОВ</t>
  </si>
  <si>
    <t>ТСН-2001.3. База. Сб.1, т.58, поз.2</t>
  </si>
  <si>
    <t>ТСН-2001.3-1. 1-56...1-58</t>
  </si>
  <si>
    <t>ТСН-2001.3-1-16</t>
  </si>
  <si>
    <t>70</t>
  </si>
  <si>
    <t>6.69-22-1</t>
  </si>
  <si>
    <t>ОЧИСТКА ОТ ГРЯЗИ И СТРОИТЕЛЬНОГО МУСОРА КАНАЛОВ И ТРУБОПРОВОДОВ ДИАМЕТРОМ 300 ММ</t>
  </si>
  <si>
    <t>ТСН-2001.6. База. Сб.69, т.22, поз.1</t>
  </si>
  <si>
    <t>ТСН-2001.6-69. 69-1...69-49</t>
  </si>
  <si>
    <t>ТСН-2001.6-69-1</t>
  </si>
  <si>
    <t>Электротехнические пусконаладочные работы</t>
  </si>
  <si>
    <t>{06C3A7F7-69FA-44A0-89C3-E066F92C67E6}</t>
  </si>
  <si>
    <t>71</t>
  </si>
  <si>
    <t>5.1-151-1</t>
  </si>
  <si>
    <t>ИЗМЕРЕНИЕ СОПРОТИВЛЕНИЯ РАСТЕКАНИЮ ТОКА ЗАЗЕМЛИТЕЛЯ</t>
  </si>
  <si>
    <t>измерение</t>
  </si>
  <si>
    <t>ТСН-2001.5. База. Сб.1, т.151, поз.1</t>
  </si>
  <si>
    <t>Поправка: 5/24  Наименование:  В случае, если монтажные и пусконаладочные работы по какому-либо оборудованию выполняются одним и тем же звеном (бригадой)</t>
  </si>
  <si>
    <t>Пусконаладочные работы</t>
  </si>
  <si>
    <t>ТСН-2001.5-1. 1-1...1-189</t>
  </si>
  <si>
    <t>ТСН-2001.5-1-1</t>
  </si>
  <si>
    <t>Поправка: 5/24</t>
  </si>
  <si>
    <t>72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</si>
  <si>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</si>
  <si>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</si>
  <si>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</si>
  <si>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</si>
  <si>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73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</si>
  <si>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</si>
  <si>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</si>
  <si>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</si>
  <si>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</si>
  <si>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74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</si>
  <si>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</si>
  <si>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</si>
  <si>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ТСН-2001.5. База. Сб.1, т.162, поз.1</t>
  </si>
  <si>
    <t>Организация дорожного движения на период строительства</t>
  </si>
  <si>
    <t>{3D293ADF-3FBB-4598-8E2A-AA12E401C507}</t>
  </si>
  <si>
    <t>75</t>
  </si>
  <si>
    <t>6.68-41-1</t>
  </si>
  <si>
    <t>ОГРАЖДЕНИЕ ПРЕДРЕМОНТНОЙ ЗОНЫ</t>
  </si>
  <si>
    <t>ТСН-2001.6. База. Сб.68, т.41, поз.1</t>
  </si>
  <si>
    <t>ТСН-2001.6-68. 68-36...68-42</t>
  </si>
  <si>
    <t>ТСН-2001.6-68-15</t>
  </si>
  <si>
    <t>9999990008</t>
  </si>
  <si>
    <t>ТРУДОЗАТРАТЫ РАБОЧИХ (ЭСН)</t>
  </si>
  <si>
    <t>чел.-ч.</t>
  </si>
  <si>
    <t>2.0-0-0</t>
  </si>
  <si>
    <t>СТОИМОСТЬ ПРОЧИХ МАШИН (ЭСН)</t>
  </si>
  <si>
    <t>руб.</t>
  </si>
  <si>
    <t>0.0-0-0</t>
  </si>
  <si>
    <t>МАССА МУСОРА</t>
  </si>
  <si>
    <t>2.1-3-35</t>
  </si>
  <si>
    <t>ТСН-2001.2. База. п.1-3-35 (032006)</t>
  </si>
  <si>
    <t>КРАНЫ НА АВТОМОБИЛЬНОМ ХОДУ, ГРУЗОПОДЪЕМНОСТЬ ДО 10 Т</t>
  </si>
  <si>
    <t>МАССА ОБОРУДОВАНИЯ</t>
  </si>
  <si>
    <t>СТОИМОСТЬ ПРОЧИХ МАТЕРИАЛОВ (ЭСН)</t>
  </si>
  <si>
    <t>2.1-5-61</t>
  </si>
  <si>
    <t>ТСН-2001.2. База. п.1-5-61 (057701)</t>
  </si>
  <si>
    <t>(удалено в доп. 27) УСТАНОВКИ МОБИЛЬНЫЕ ДЛЯ НАРЕЗКИ ШВОВ В БЕТОНЕ И АСФАЛЬТОБЕТОНЕ</t>
  </si>
  <si>
    <t>2.1-10-5</t>
  </si>
  <si>
    <t>ТСН-2001.2. База. п.1-10-5 (101002)</t>
  </si>
  <si>
    <t>КОМПРЕССОРЫ С ДИЗЕЛЬНЫМ ДВИГАТЕЛЕМ ПРИЦЕПНЫЕ ДО 5 М3/МИН</t>
  </si>
  <si>
    <t>2.1-30-54</t>
  </si>
  <si>
    <t>ТСН-2001.2. База. п.1-30-54 (308901)</t>
  </si>
  <si>
    <t>МОЛОТКИ ОТБОЙНЫЕ</t>
  </si>
  <si>
    <t>2.1-5-48</t>
  </si>
  <si>
    <t>ТСН-2001.2. База. п.1-5-48 (056003)</t>
  </si>
  <si>
    <t>АВТОГРЕЙДЕРЫ, МОЩНОСТЬ 99-147 КВТ (130-200 Л.С.)</t>
  </si>
  <si>
    <t>2.1-1-43</t>
  </si>
  <si>
    <t>ТСН-2001.2. База. п.1-1-43 (012102)</t>
  </si>
  <si>
    <t>БУЛЬДОЗЕРЫ ГУСЕНИЧНЫЕ, МОЩНОСТЬ ДО 59 КВТ (80 Л.С.)</t>
  </si>
  <si>
    <t>2.1-1-5</t>
  </si>
  <si>
    <t>ТСН-2001.2. База. п.1-1-5 (010109)</t>
  </si>
  <si>
    <t>ЭКСКАВАТОРЫ НА ГУСЕНИЧНОМ ХОДУ ГИДРАВЛИЧЕСКИЕ, ОБЪЕМ КОВША ДО 0,65 М3</t>
  </si>
  <si>
    <t>2.1-2-1</t>
  </si>
  <si>
    <t>ТСН-2001.2. База. п.1-2-1 (020101)</t>
  </si>
  <si>
    <t>ТРАКТОРЫ НА ГУСЕНИЧНОМ ХОДУ, МОЩНОСТЬ ДО 60 (81) КВТ (Л.С.)</t>
  </si>
  <si>
    <t>2.1-5-15</t>
  </si>
  <si>
    <t>ТСН-2001.2. База. п.1-5-15 (050703)</t>
  </si>
  <si>
    <t>КАТКИ ПРИЦЕПНЫЕ ПНЕВМОКОЛЕСНЫЕ, МАССА ДО 50 Т</t>
  </si>
  <si>
    <t>2.1-5-18</t>
  </si>
  <si>
    <t>ТСН-2001.2. База. п.1-5-18 (050902)</t>
  </si>
  <si>
    <t>ПОЛИВОМОЕЧНЫЕ МАШИНЫ, ЕМКОСТЬ ЦИСТЕРНЫ БОЛЕЕ 5000 Л</t>
  </si>
  <si>
    <t>2.1-5-7</t>
  </si>
  <si>
    <t>ТСН-2001.2. База. п.1-5-7 (050301)</t>
  </si>
  <si>
    <t>КАТКИ ДОРОЖНЫЕ САМОХОДНЫЕ НА ПНЕВМОКОЛЕСНОМ ХОДУ, МАССА ДО 16 Т</t>
  </si>
  <si>
    <t>1.1-1-118</t>
  </si>
  <si>
    <t>ТСН-2001.1. База. Р.1, о.1, поз.118</t>
  </si>
  <si>
    <t>ВОДА</t>
  </si>
  <si>
    <t>2.1-5-64</t>
  </si>
  <si>
    <t>ТСН-2001.2. База. п.1-5-64 (059002)</t>
  </si>
  <si>
    <t>КОТЛЫ БИТУМОВАРОЧНЫЕ ПЕРЕДВИЖНЫЕ, ЕМКОСТЬ ДО 1000 Л</t>
  </si>
  <si>
    <t>1.1-1-45</t>
  </si>
  <si>
    <t>ТСН-2001.1. База. Р.1, о.1, поз.45</t>
  </si>
  <si>
    <t>БИТУМЫ НЕФТЯНЫЕ, ДОРОЖНЫЕ ВЯЗКИЕ, МАРКА БНД</t>
  </si>
  <si>
    <t>1.1-1-766</t>
  </si>
  <si>
    <t>ТСН-2001.1. База. Р.1, о.1, поз.766</t>
  </si>
  <si>
    <t>ПЕСОК ДЛЯ СТРОИТЕЛЬНЫХ РАБОТ, РЯДОВОЙ</t>
  </si>
  <si>
    <t>1.9-11-4</t>
  </si>
  <si>
    <t>ТСН-2001.1. База. Р.9, о.11, поз.4</t>
  </si>
  <si>
    <t>ЩИТЫ ДЕРЕВЯННЫЕ ДЛЯ ФУНДАМЕНТОВ, КОЛОНН, БАЛОК, ПЕРЕКРЫТИЙ, СТЕН, ПЕРЕГОРОДОК И ДРУГИХ КОНСТРУКЦИЙ ИЗ ДОСОК, ТОЛЩИНА 40ММ</t>
  </si>
  <si>
    <t>м2</t>
  </si>
  <si>
    <t>2.1-4-3</t>
  </si>
  <si>
    <t>ТСН-2001.2. База. п.1-4-3 (040103)</t>
  </si>
  <si>
    <t>ПОГРУЗЧИКИ УНИВЕРСАЛЬНЫЕ НА ПНЕВМОКОЛЕСНОМ ХОДУ, ГРУЗОПОДЪЕМНОСТЬ ДО 3 Т</t>
  </si>
  <si>
    <t>2.1-5-17</t>
  </si>
  <si>
    <t>ТСН-2001.2. База. п.1-5-17 (050901)</t>
  </si>
  <si>
    <t>ПОЛИВОМОЕЧНЫЕ МАШИНЫ, ЕМКОСТЬ ЦИСТЕРНЫ ДО 5000 Л</t>
  </si>
  <si>
    <t>2.1-5-19</t>
  </si>
  <si>
    <t>ТСН-2001.2. База. п.1-5-19 (051001)</t>
  </si>
  <si>
    <t>АСФАЛЬТОУКЛАДЧИКИ, ПРОИЗВОДИТЕЛЬНОСТЬ ДО 350 Т/Ч</t>
  </si>
  <si>
    <t>2.1-5-2</t>
  </si>
  <si>
    <t>ТСН-2001.2. База. п.1-5-2 (050102)</t>
  </si>
  <si>
    <t>КАТКИ САМОХОДНЫЕ ВИБРАЦИОННЫЕ, МАССА ДО 8 Т</t>
  </si>
  <si>
    <t>2.1-5-35</t>
  </si>
  <si>
    <t>ТСН-2001.2. База. п.1-5-35 (053601)</t>
  </si>
  <si>
    <t>АВТОГУДРОНАТОРЫ БИТУМНЫЕ, ЕМКОСТЬ ДО 3500 Л</t>
  </si>
  <si>
    <t>2.1-5-6</t>
  </si>
  <si>
    <t>ТСН-2001.2. База. п.1-5-6 (050203)</t>
  </si>
  <si>
    <t>КАТКИ ДОРОЖНЫЕ САМОХОДНЫЕ СТАТИЧЕСКИЕ, МАССА БОЛЕЕ 10 Т</t>
  </si>
  <si>
    <t>1.3-3-19</t>
  </si>
  <si>
    <t>ТСН-2001.1. База. Р.3, о.3, поз.19</t>
  </si>
  <si>
    <t>ЭМУЛЬСИИ ДОРОЖНЫЕ, БИТУМНЫЕ</t>
  </si>
  <si>
    <t>2.1-18-12</t>
  </si>
  <si>
    <t>ТСН-2001.2. База. п.1-18-12 (184001)</t>
  </si>
  <si>
    <t>АВТОМОБИЛИ-САМОСВАЛЫ, ГРУЗОПОДЪЕМНОСТЬ ДО 7 Т</t>
  </si>
  <si>
    <t>2.1-6-52</t>
  </si>
  <si>
    <t>ТСН-2001.2. База. п.1-6-52 (069402)</t>
  </si>
  <si>
    <t>ВИБРАТОРЫ ГЛУБИННЫЕ</t>
  </si>
  <si>
    <t>2.1-9-2</t>
  </si>
  <si>
    <t>ТСН-2001.2. База. п.1-9-2 (090201)</t>
  </si>
  <si>
    <t>МАШИНЫ БУРИЛЬНО-КРАНОВЫЕ НА БАЗЕ АВТОМОБИЛЯ, ГЛУБИНА БУРЕНИЯ ДО 5 М</t>
  </si>
  <si>
    <t>3449660000</t>
  </si>
  <si>
    <t>ОПОРЫ МЕТАЛЛИЧЕСКИЕ</t>
  </si>
  <si>
    <t>2.1-18-7</t>
  </si>
  <si>
    <t>ТСН-2001.2. База. п.1-18-7 (183001)</t>
  </si>
  <si>
    <t>АВТОМОБИЛИ ГРУЗОВЫЕ БОРТОВЫЕ, ГРУЗОПОДЪЕМНОСТЬ ДО 5 Т</t>
  </si>
  <si>
    <t>2.1-11-1</t>
  </si>
  <si>
    <t>ТСН-2001.2. База. п.1-11-1 (110003)</t>
  </si>
  <si>
    <t>НАСОСЫ ДЛЯ ВОДОПОНИЖЕНИЯ И ВОДООТЛИВА, МОЩНОСТЬ ДО 4 КВТ</t>
  </si>
  <si>
    <t>4932510000</t>
  </si>
  <si>
    <t>БАКИ РАСШИРИТЕЛЬНЫЕ</t>
  </si>
  <si>
    <t>3972590000</t>
  </si>
  <si>
    <t>ДИСКИ ОТРЕЗНЫЕ С АЛМАЗНЫМ ПОКРЫТИЕМ</t>
  </si>
  <si>
    <t>5711400000</t>
  </si>
  <si>
    <t>ПЕСОК ПРИРОДНЫЙ ДЛЯ СТРОИТЕЛЬНЫХ РАБОТ</t>
  </si>
  <si>
    <t>5745080000</t>
  </si>
  <si>
    <t>СМЕСИ БЕТОННЫЕ , БСГ, ТЯЖЕЛОГО БЕТОНА ДЛЯ ИНЖЕНЕРНЫХ КОММУНИКАЦИЙ И ДОРОГ</t>
  </si>
  <si>
    <t>5718400000</t>
  </si>
  <si>
    <t>СМЕСИ АСФАЛЬТОБЕТОННЫЕ</t>
  </si>
  <si>
    <t>0930110000</t>
  </si>
  <si>
    <t>АРМАТУРНЫЕ ЗАГОТОВКИ ИЗ СТАЛИ КЛАССА А-I, ДИАМЕТР 8 ММ</t>
  </si>
  <si>
    <t>5745010000</t>
  </si>
  <si>
    <t>СМЕСИ БЕТОННЫЕ, БСГ, ТЯЖЕЛОГО БЕТОНА</t>
  </si>
  <si>
    <t>1297020000</t>
  </si>
  <si>
    <t>БОЛТЫ СТРОИТЕЛЬНЫЕ С ГАЙКАМИ И ШАЙБАМИ</t>
  </si>
  <si>
    <t>Форма № 1а</t>
  </si>
  <si>
    <t>(Наименование стройки)</t>
  </si>
  <si>
    <t>базовая</t>
  </si>
  <si>
    <t>текущая</t>
  </si>
  <si>
    <t>цена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</si>
  <si>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</si>
  <si>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</si>
  <si>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</si>
  <si>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</si>
  <si>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</si>
  <si>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</si>
  <si>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</si>
  <si>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</si>
  <si>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</si>
  <si>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</si>
  <si>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</si>
  <si>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</si>
  <si>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</si>
  <si>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</si>
  <si>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</si>
  <si>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</si>
  <si>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</si>
  <si>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</si>
  <si>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</si>
  <si>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</si>
  <si>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</si>
  <si>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</si>
  <si>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</si>
  <si>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</si>
  <si>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</si>
  <si>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</si>
  <si>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</si>
  <si>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</si>
  <si>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</si>
  <si>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</si>
  <si>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</si>
  <si>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</si>
  <si>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</si>
  <si>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</si>
  <si>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</si>
  <si>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</si>
  <si>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</si>
  <si>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</si>
  <si>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r>
      <t xml:space="preserve">4.8-235-2
</t>
    </r>
    <r>
      <rPr>
        <i/>
        <sz val="8"/>
        <rFont val="Arial"/>
        <family val="2"/>
      </rPr>
      <t>Поправка: 4/16</t>
    </r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</si>
  <si>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</si>
  <si>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</si>
  <si>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</si>
  <si>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</si>
  <si>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</si>
  <si>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</si>
  <si>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</si>
  <si>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</si>
  <si>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</si>
  <si>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r>
      <t xml:space="preserve">4.10-69-6
</t>
    </r>
    <r>
      <rPr>
        <i/>
        <sz val="8"/>
        <rFont val="Arial"/>
        <family val="2"/>
      </rPr>
      <t>Поправка: 4/16</t>
    </r>
  </si>
  <si>
    <t>Итого</t>
  </si>
  <si>
    <t>МР</t>
  </si>
  <si>
    <r>
      <t xml:space="preserve">4.10-123-15
</t>
    </r>
    <r>
      <rPr>
        <i/>
        <sz val="8"/>
        <rFont val="Arial"/>
        <family val="2"/>
      </rPr>
      <t>Поправка: 4.10-123-15/1</t>
    </r>
  </si>
  <si>
    <r>
      <t xml:space="preserve">4.10-123-15
</t>
    </r>
    <r>
      <rPr>
        <i/>
        <sz val="8"/>
        <rFont val="Arial"/>
        <family val="2"/>
      </rPr>
      <t>Поправка: 4.10-123-15/2</t>
    </r>
  </si>
  <si>
    <r>
      <t xml:space="preserve">3.27-36-1
</t>
    </r>
    <r>
      <rPr>
        <i/>
        <sz val="8"/>
        <rFont val="Arial"/>
        <family val="2"/>
      </rPr>
      <t>Поправка: 3/4</t>
    </r>
  </si>
  <si>
    <r>
      <t xml:space="preserve">3.1-52-3
</t>
    </r>
    <r>
      <rPr>
        <i/>
        <sz val="8"/>
        <rFont val="Arial"/>
        <family val="2"/>
      </rPr>
      <t>Поправка: 3.1-52/3</t>
    </r>
  </si>
  <si>
    <r>
      <t xml:space="preserve">3.27-12-1
</t>
    </r>
    <r>
      <rPr>
        <i/>
        <sz val="8"/>
        <rFont val="Arial"/>
        <family val="2"/>
      </rPr>
      <t>Поправка: 3/4</t>
    </r>
  </si>
  <si>
    <r>
      <t xml:space="preserve">3.27-30-1
</t>
    </r>
    <r>
      <rPr>
        <i/>
        <sz val="8"/>
        <rFont val="Arial"/>
        <family val="2"/>
      </rPr>
      <t>Поправка: 3/4</t>
    </r>
  </si>
  <si>
    <r>
      <t xml:space="preserve">3.27-30-2
</t>
    </r>
    <r>
      <rPr>
        <i/>
        <sz val="8"/>
        <rFont val="Arial"/>
        <family val="2"/>
      </rPr>
      <t>Поправка: 3/4</t>
    </r>
  </si>
  <si>
    <r>
      <t xml:space="preserve">3.27-42-1
</t>
    </r>
    <r>
      <rPr>
        <i/>
        <sz val="8"/>
        <rFont val="Arial"/>
        <family val="2"/>
      </rPr>
      <t>Поправка: 3/4</t>
    </r>
  </si>
  <si>
    <r>
      <t xml:space="preserve">3.27-43-1
</t>
    </r>
    <r>
      <rPr>
        <i/>
        <sz val="8"/>
        <rFont val="Arial"/>
        <family val="2"/>
      </rPr>
      <t>Поправка: 3/4</t>
    </r>
  </si>
  <si>
    <r>
      <t xml:space="preserve">3.33-33-2
</t>
    </r>
    <r>
      <rPr>
        <i/>
        <sz val="8"/>
        <rFont val="Arial"/>
        <family val="2"/>
      </rPr>
      <t>Поправка: 3/4</t>
    </r>
  </si>
  <si>
    <r>
      <t xml:space="preserve">3.33-29-11
</t>
    </r>
    <r>
      <rPr>
        <i/>
        <sz val="8"/>
        <rFont val="Arial"/>
        <family val="2"/>
      </rPr>
      <t>Поправка: 3/4</t>
    </r>
  </si>
  <si>
    <r>
      <t xml:space="preserve">3.33-30-11
</t>
    </r>
    <r>
      <rPr>
        <i/>
        <sz val="8"/>
        <rFont val="Arial"/>
        <family val="2"/>
      </rPr>
      <t>Поправка: 3/4</t>
    </r>
  </si>
  <si>
    <r>
      <t xml:space="preserve">3.9-44-1
</t>
    </r>
    <r>
      <rPr>
        <i/>
        <sz val="8"/>
        <rFont val="Arial"/>
        <family val="2"/>
      </rPr>
      <t>Поправка: 3/4</t>
    </r>
  </si>
  <si>
    <r>
      <t xml:space="preserve">3.1-58-2
</t>
    </r>
    <r>
      <rPr>
        <i/>
        <sz val="8"/>
        <rFont val="Arial"/>
        <family val="2"/>
      </rPr>
      <t>Поправка: 3/4</t>
    </r>
  </si>
  <si>
    <r>
      <t xml:space="preserve">5.1-151-1
</t>
    </r>
    <r>
      <rPr>
        <i/>
        <sz val="8"/>
        <rFont val="Arial"/>
        <family val="2"/>
      </rPr>
      <t>Поправка: 5/24</t>
    </r>
  </si>
  <si>
    <r>
      <t xml:space="preserve">5.1-152-1
</t>
    </r>
    <r>
      <rPr>
        <i/>
        <sz val="8"/>
        <rFont val="Arial"/>
        <family val="2"/>
      </rPr>
      <t>Поправка: 5/24</t>
    </r>
  </si>
  <si>
    <r>
      <t xml:space="preserve">5.1-154-1
</t>
    </r>
    <r>
      <rPr>
        <i/>
        <sz val="8"/>
        <rFont val="Arial"/>
        <family val="2"/>
      </rPr>
      <t>Поправка: 5/24</t>
    </r>
  </si>
  <si>
    <r>
      <t xml:space="preserve">5.1-162-1
</t>
    </r>
    <r>
      <rPr>
        <i/>
        <sz val="8"/>
        <rFont val="Arial"/>
        <family val="2"/>
      </rPr>
      <t>Поправка: 5/24</t>
    </r>
  </si>
  <si>
    <t>Итого по смете</t>
  </si>
  <si>
    <t>Составил</t>
  </si>
  <si>
    <t>[должность,подпись(инициалы,фамилия)]</t>
  </si>
  <si>
    <t>Проверил:</t>
  </si>
  <si>
    <t>Smeta.ru  (495) 974-1589     ТСН-2001 (© ОАО МЦЦС 'Мосстройцены', 2006)</t>
  </si>
  <si>
    <t>«Создание автоматизированной системы управления дорожным движением Интеллектуальной транспортной системы города Москвы»  в рамках выполнения работ 2-го этапа по созданию ИТС г. Москвы</t>
  </si>
  <si>
    <t xml:space="preserve">ЛОКАЛЬНАЯ СМЕТА №  </t>
  </si>
  <si>
    <t>ЛОКАЛЬНАЯ СМЕТА № 13/55-111</t>
  </si>
  <si>
    <t xml:space="preserve"> на установку периферийного оборудования системы телеобзора на улично-дорожной сети города Москвы по адресу: Мичуринский пр-кт -Озерная ул. (не пересекается)-Никулинская ул. д.27к2 </t>
  </si>
  <si>
    <t>Основание: 79/12-ИТС.АСУДД-Р.СТ-06.ТО-2.211.ВО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</si>
</sst>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10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7" xfId="0" applyFont="1" applyBorder="1" applyAlignment="1">
      <alignment horizontal="left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172" fontId="10" fillId="0" borderId="0" xfId="0" applyNumberFormat="1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72" fontId="10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0" fontId="1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585</xdr:row>
      <xdr:rowOff>28575</xdr:rowOff>
    </xdr:from>
    <xdr:to>
      <xdr:col>2</xdr:col>
      <xdr:colOff>542925</xdr:colOff>
      <xdr:row>587</xdr:row>
      <xdr:rowOff>95250</xdr:rowOff>
    </xdr:to>
    <xdr:pic>
      <xdr:nvPicPr>
        <xdr:cNvPr id="1" name="Рисунок 3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365123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581</xdr:row>
      <xdr:rowOff>133350</xdr:rowOff>
    </xdr:from>
    <xdr:to>
      <xdr:col>2</xdr:col>
      <xdr:colOff>638175</xdr:colOff>
      <xdr:row>584</xdr:row>
      <xdr:rowOff>114300</xdr:rowOff>
    </xdr:to>
    <xdr:pic>
      <xdr:nvPicPr>
        <xdr:cNvPr id="2" name="Рисунок 4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35969375"/>
          <a:ext cx="257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9"/>
  <sheetViews>
    <sheetView tabSelected="1" zoomScalePageLayoutView="0" workbookViewId="0" topLeftCell="B31">
      <selection activeCell="AF195" sqref="AF195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6" width="0" style="0" hidden="1" customWidth="1"/>
    <col min="27" max="27" width="74.57421875" style="0" hidden="1" customWidth="1"/>
    <col min="28" max="28" width="0" style="0" hidden="1" customWidth="1"/>
  </cols>
  <sheetData>
    <row r="1" s="4" customFormat="1" ht="11.25">
      <c r="A1" s="4" t="s">
        <v>678</v>
      </c>
    </row>
    <row r="2" s="4" customFormat="1" ht="11.25">
      <c r="K2" s="4" t="s">
        <v>600</v>
      </c>
    </row>
    <row r="4" spans="1:27" ht="28.5" customHeight="1">
      <c r="A4" s="46" t="s">
        <v>679</v>
      </c>
      <c r="B4" s="46"/>
      <c r="C4" s="46"/>
      <c r="D4" s="46"/>
      <c r="E4" s="46"/>
      <c r="F4" s="46"/>
      <c r="G4" s="46"/>
      <c r="H4" s="46"/>
      <c r="I4" s="46"/>
      <c r="J4" s="46"/>
      <c r="K4" s="46"/>
      <c r="AA4" s="5" t="e">
        <v>#REF!</v>
      </c>
    </row>
    <row r="5" spans="1:11" ht="12.75">
      <c r="A5" s="48" t="s">
        <v>601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ht="1.5" customHeight="1">
      <c r="AA7" s="6" t="s">
        <v>680</v>
      </c>
    </row>
    <row r="8" spans="1:11" ht="13.5">
      <c r="A8" s="50" t="s">
        <v>681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27" ht="30.75" customHeight="1">
      <c r="A9" s="52" t="s">
        <v>682</v>
      </c>
      <c r="B9" s="53"/>
      <c r="C9" s="53"/>
      <c r="D9" s="53"/>
      <c r="E9" s="53"/>
      <c r="F9" s="53"/>
      <c r="G9" s="53"/>
      <c r="H9" s="53"/>
      <c r="I9" s="53"/>
      <c r="J9" s="53"/>
      <c r="K9" s="53"/>
      <c r="AA9" s="7" t="e">
        <v>#REF!</v>
      </c>
    </row>
    <row r="12" spans="1:27" ht="12.75">
      <c r="A12" s="47" t="s">
        <v>683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AA12" s="9" t="e">
        <v>#REF!</v>
      </c>
    </row>
    <row r="14" spans="9:10" ht="12.75">
      <c r="I14" s="10" t="s">
        <v>602</v>
      </c>
      <c r="J14" s="10" t="s">
        <v>603</v>
      </c>
    </row>
    <row r="15" spans="9:10" ht="12.75">
      <c r="I15" s="10" t="s">
        <v>604</v>
      </c>
      <c r="J15" s="10" t="s">
        <v>604</v>
      </c>
    </row>
    <row r="16" spans="7:11" ht="12.75">
      <c r="G16" s="4" t="s">
        <v>605</v>
      </c>
      <c r="H16" s="4"/>
      <c r="I16" s="11">
        <f>H581/1000</f>
        <v>0</v>
      </c>
      <c r="J16" s="11">
        <f>(Source!O22+Source!X22+Source!Y22+Source!R22*167/100)/1000</f>
        <v>582.0061059</v>
      </c>
      <c r="K16" s="8" t="s">
        <v>606</v>
      </c>
    </row>
    <row r="17" spans="7:11" ht="12.75">
      <c r="G17" s="4" t="s">
        <v>44</v>
      </c>
      <c r="H17" s="4"/>
      <c r="I17" s="11">
        <f>SUM(O29:O582)/1000</f>
        <v>3.8746</v>
      </c>
      <c r="J17" s="11">
        <f>SUM(U29:U582)/1000</f>
        <v>29.344251399999994</v>
      </c>
      <c r="K17" s="8" t="s">
        <v>606</v>
      </c>
    </row>
    <row r="18" spans="7:11" ht="12.75">
      <c r="G18" s="4" t="s">
        <v>79</v>
      </c>
      <c r="I18" s="11">
        <f>SUM(P29:P582)/1000</f>
        <v>33.96416</v>
      </c>
      <c r="J18" s="11">
        <f>SUM(V29:V582)/1000</f>
        <v>196.52360450000003</v>
      </c>
      <c r="K18" s="8" t="s">
        <v>606</v>
      </c>
    </row>
    <row r="19" spans="7:11" ht="12.75">
      <c r="G19" s="4" t="s">
        <v>280</v>
      </c>
      <c r="I19" s="11">
        <f>SUM(Q29:Q582)/1000</f>
        <v>128.26377</v>
      </c>
      <c r="J19" s="11">
        <f>SUM(W29:W582)/1000</f>
        <v>352.72537000000005</v>
      </c>
      <c r="K19" s="8" t="s">
        <v>606</v>
      </c>
    </row>
    <row r="20" spans="7:11" ht="12.75">
      <c r="G20" s="4" t="s">
        <v>223</v>
      </c>
      <c r="I20" s="11">
        <f>SUM(R29:R582)/1000+0.01</f>
        <v>0.9466499999999999</v>
      </c>
      <c r="J20" s="11">
        <f>SUM(X29:X582)/1000+0.01</f>
        <v>3.4228799999999997</v>
      </c>
      <c r="K20" s="8" t="s">
        <v>606</v>
      </c>
    </row>
    <row r="21" spans="7:11" ht="12.75">
      <c r="G21" s="4" t="s">
        <v>607</v>
      </c>
      <c r="I21" s="11">
        <f>L581/1000</f>
        <v>3.48157</v>
      </c>
      <c r="J21" s="11">
        <f>((Source!F264+Source!F263)/1000)</f>
        <v>45.574070000000006</v>
      </c>
      <c r="K21" s="8" t="s">
        <v>606</v>
      </c>
    </row>
    <row r="22" spans="1:6" ht="12.75">
      <c r="A22" s="4" t="s">
        <v>608</v>
      </c>
      <c r="B22" s="4"/>
      <c r="C22" s="4"/>
      <c r="D22" s="13">
        <f>IF(AND(Source!P12&lt;&gt;0,Source!Q12&lt;&gt;0),DATE(Source!P12,Source!Q12,1),IF(Source!AF12=0,"",IF(Source!AN12=0,"",DATE(Source!AF12,Source!AN12,1))))</f>
        <v>40969</v>
      </c>
      <c r="E22" s="14">
        <f>IF(AND(Source!P12&lt;&gt;0,Source!Q12&lt;&gt;0),Source!P12,IF(Source!AF12=0,"",Source!AF12))</f>
        <v>2012</v>
      </c>
      <c r="F22" s="4" t="s">
        <v>609</v>
      </c>
    </row>
    <row r="23" spans="1:25" ht="12.75">
      <c r="A23" s="19"/>
      <c r="B23" s="19"/>
      <c r="C23" s="19"/>
      <c r="D23" s="19"/>
      <c r="E23" s="19"/>
      <c r="F23" s="18" t="s">
        <v>622</v>
      </c>
      <c r="G23" s="54" t="s">
        <v>625</v>
      </c>
      <c r="H23" s="55"/>
      <c r="I23" s="18" t="s">
        <v>631</v>
      </c>
      <c r="J23" s="18" t="s">
        <v>634</v>
      </c>
      <c r="K23" s="17" t="s">
        <v>631</v>
      </c>
      <c r="Y23">
        <v>-1</v>
      </c>
    </row>
    <row r="24" spans="1:11" ht="12.75">
      <c r="A24" s="16" t="s">
        <v>610</v>
      </c>
      <c r="B24" s="16" t="s">
        <v>612</v>
      </c>
      <c r="C24" s="20"/>
      <c r="D24" s="16" t="s">
        <v>617</v>
      </c>
      <c r="E24" s="16" t="s">
        <v>620</v>
      </c>
      <c r="F24" s="16" t="s">
        <v>623</v>
      </c>
      <c r="G24" s="18"/>
      <c r="H24" s="18" t="s">
        <v>628</v>
      </c>
      <c r="I24" s="16" t="s">
        <v>632</v>
      </c>
      <c r="J24" s="16" t="s">
        <v>635</v>
      </c>
      <c r="K24" s="15" t="s">
        <v>639</v>
      </c>
    </row>
    <row r="25" spans="1:11" ht="12.75">
      <c r="A25" s="16" t="s">
        <v>611</v>
      </c>
      <c r="B25" s="16" t="s">
        <v>613</v>
      </c>
      <c r="C25" s="16" t="s">
        <v>616</v>
      </c>
      <c r="D25" s="16" t="s">
        <v>618</v>
      </c>
      <c r="E25" s="16" t="s">
        <v>621</v>
      </c>
      <c r="F25" s="16" t="s">
        <v>624</v>
      </c>
      <c r="G25" s="16" t="s">
        <v>626</v>
      </c>
      <c r="H25" s="16" t="s">
        <v>629</v>
      </c>
      <c r="I25" s="16" t="s">
        <v>633</v>
      </c>
      <c r="J25" s="16" t="s">
        <v>636</v>
      </c>
      <c r="K25" s="21" t="s">
        <v>640</v>
      </c>
    </row>
    <row r="26" spans="1:11" ht="12.75">
      <c r="A26" s="20"/>
      <c r="B26" s="16" t="s">
        <v>614</v>
      </c>
      <c r="C26" s="20"/>
      <c r="D26" s="16" t="s">
        <v>619</v>
      </c>
      <c r="E26" s="20"/>
      <c r="F26" s="16" t="s">
        <v>492</v>
      </c>
      <c r="G26" s="16" t="s">
        <v>627</v>
      </c>
      <c r="H26" s="16" t="s">
        <v>630</v>
      </c>
      <c r="I26" s="16" t="s">
        <v>492</v>
      </c>
      <c r="J26" s="16" t="s">
        <v>637</v>
      </c>
      <c r="K26" s="15" t="s">
        <v>641</v>
      </c>
    </row>
    <row r="27" spans="1:11" ht="12.75">
      <c r="A27" s="20"/>
      <c r="B27" s="16" t="s">
        <v>615</v>
      </c>
      <c r="C27" s="20"/>
      <c r="D27" s="20"/>
      <c r="E27" s="20"/>
      <c r="F27" s="20"/>
      <c r="G27" s="16"/>
      <c r="H27" s="16"/>
      <c r="I27" s="16"/>
      <c r="J27" s="16" t="s">
        <v>638</v>
      </c>
      <c r="K27" s="15"/>
    </row>
    <row r="28" spans="1:11" ht="12.75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  <c r="H28" s="22">
        <v>8</v>
      </c>
      <c r="I28" s="22">
        <v>9</v>
      </c>
      <c r="J28" s="22">
        <v>10</v>
      </c>
      <c r="K28" s="23">
        <v>11</v>
      </c>
    </row>
    <row r="29" spans="3:27" ht="15.75">
      <c r="C29" s="24" t="s">
        <v>642</v>
      </c>
      <c r="D29" s="44" t="str">
        <f>IF(Source!C12="1",Source!F24,Source!G24)</f>
        <v>Демонтажные работы</v>
      </c>
      <c r="E29" s="45"/>
      <c r="F29" s="45"/>
      <c r="G29" s="45"/>
      <c r="H29" s="45"/>
      <c r="I29" s="45"/>
      <c r="J29" s="45"/>
      <c r="K29" s="45"/>
      <c r="AA29" s="25" t="str">
        <f>IF(Source!C12="1",Source!F24,Source!G24)</f>
        <v>Демонтажные работы</v>
      </c>
    </row>
    <row r="31" spans="1:25" ht="72">
      <c r="A31" s="26" t="str">
        <f>Source!E28</f>
        <v>1</v>
      </c>
      <c r="B31" s="26" t="s">
        <v>643</v>
      </c>
      <c r="C31" s="9" t="str">
        <f>Source!G28</f>
        <v>ДЕМОНТАЖ СВЕТОВЫХ СИГНАЛЬНЫХ ПРИБОРОВ, СВЕТОФОР С КОЛИЧЕСТВОМ ЛАМП ДО 3, УСТАНАВЛИВАЕМЫЙ НА КОНСТРУКЦИИ НА СТЕНЕ, КОЛОННЕ ИЛИ БАЛКЕ</v>
      </c>
      <c r="D31" s="27" t="str">
        <f>Source!H28</f>
        <v>шт.</v>
      </c>
      <c r="E31" s="8">
        <f>ROUND(Source!I28,6)</f>
        <v>4</v>
      </c>
      <c r="F31" s="8"/>
      <c r="G31" s="8"/>
      <c r="H31" s="8"/>
      <c r="I31" s="8"/>
      <c r="J31" s="8"/>
      <c r="K31" s="8"/>
      <c r="Y31">
        <v>1</v>
      </c>
    </row>
    <row r="32" spans="1:11" ht="12.75">
      <c r="A32" s="8"/>
      <c r="B32" s="8"/>
      <c r="C32" s="8" t="s">
        <v>644</v>
      </c>
      <c r="D32" s="8"/>
      <c r="E32" s="8"/>
      <c r="F32" s="11">
        <f>Source!AO28</f>
        <v>25.65</v>
      </c>
      <c r="G32" s="28" t="str">
        <f>Source!DG28</f>
        <v>)*0,4</v>
      </c>
      <c r="H32" s="8">
        <f>Source!AV28</f>
        <v>1.047</v>
      </c>
      <c r="I32" s="11">
        <f>ROUND((Source!CT28/IF(Source!BA28&lt;&gt;0,Source!BA28,1)*Source!I28),2)</f>
        <v>42.97</v>
      </c>
      <c r="J32" s="8">
        <f>Source!BA28</f>
        <v>13.09</v>
      </c>
      <c r="K32" s="11"/>
    </row>
    <row r="33" spans="1:11" ht="12.75">
      <c r="A33" s="8"/>
      <c r="B33" s="8"/>
      <c r="C33" s="8" t="s">
        <v>645</v>
      </c>
      <c r="D33" s="8"/>
      <c r="E33" s="8"/>
      <c r="F33" s="11">
        <f>Source!AM28</f>
        <v>15.96</v>
      </c>
      <c r="G33" s="28" t="str">
        <f>Source!DE28</f>
        <v>)*0,4</v>
      </c>
      <c r="H33" s="8">
        <f>Source!AV28</f>
        <v>1.047</v>
      </c>
      <c r="I33" s="11">
        <f>ROUND((Source!CR28/IF(Source!BB28&lt;&gt;0,Source!BB28,1)*Source!I28),2)</f>
        <v>26.74</v>
      </c>
      <c r="J33" s="8">
        <f>Source!BB28</f>
        <v>5.18</v>
      </c>
      <c r="K33" s="11"/>
    </row>
    <row r="34" spans="1:12" ht="12.75">
      <c r="A34" s="8"/>
      <c r="B34" s="8"/>
      <c r="C34" s="8" t="s">
        <v>646</v>
      </c>
      <c r="D34" s="8"/>
      <c r="E34" s="8"/>
      <c r="F34" s="11">
        <f>Source!AN28</f>
        <v>1.04</v>
      </c>
      <c r="G34" s="28" t="str">
        <f>Source!DF28</f>
        <v>)*0,4</v>
      </c>
      <c r="H34" s="8">
        <f>Source!AV28</f>
        <v>1.047</v>
      </c>
      <c r="I34" s="29" t="str">
        <f>CONCATENATE("(",TEXT(+ROUND((Source!CS28/IF(J34&lt;&gt;0,J34,1)*Source!I28),2),"0,00"),")")</f>
        <v>(1,74)</v>
      </c>
      <c r="J34" s="8">
        <f>Source!BS28</f>
        <v>13.09</v>
      </c>
      <c r="K34" s="29"/>
      <c r="L34">
        <f>ROUND(IF(J34&lt;&gt;0,Source!R28/J34,Source!R28),2)</f>
        <v>1.74</v>
      </c>
    </row>
    <row r="35" spans="1:11" ht="12.75">
      <c r="A35" s="8"/>
      <c r="B35" s="8"/>
      <c r="C35" s="8" t="s">
        <v>647</v>
      </c>
      <c r="D35" s="8" t="s">
        <v>648</v>
      </c>
      <c r="E35" s="8">
        <f>Source!DN28</f>
        <v>112</v>
      </c>
      <c r="F35" s="8"/>
      <c r="G35" s="8"/>
      <c r="H35" s="8"/>
      <c r="I35" s="11">
        <f>ROUND((E35/100)*ROUND((Source!CT28/IF(Source!BA28&lt;&gt;0,Source!BA28,1)*Source!I28),2),2)</f>
        <v>48.13</v>
      </c>
      <c r="J35" s="8">
        <f>Source!AT28</f>
        <v>96</v>
      </c>
      <c r="K35" s="11"/>
    </row>
    <row r="36" spans="1:11" ht="12.75">
      <c r="A36" s="8"/>
      <c r="B36" s="8"/>
      <c r="C36" s="8" t="s">
        <v>649</v>
      </c>
      <c r="D36" s="8" t="s">
        <v>648</v>
      </c>
      <c r="E36" s="8">
        <f>Source!DO28</f>
        <v>70</v>
      </c>
      <c r="F36" s="8"/>
      <c r="G36" s="8"/>
      <c r="H36" s="8"/>
      <c r="I36" s="11">
        <f>ROUND((E36/100)*ROUND((Source!CT28/IF(Source!BA28&lt;&gt;0,Source!BA28,1)*Source!I28),2),2)</f>
        <v>30.08</v>
      </c>
      <c r="J36" s="8">
        <f>Source!AU28</f>
        <v>42</v>
      </c>
      <c r="K36" s="11"/>
    </row>
    <row r="37" spans="1:11" ht="12.75">
      <c r="A37" s="8"/>
      <c r="B37" s="8"/>
      <c r="C37" s="8" t="s">
        <v>650</v>
      </c>
      <c r="D37" s="8" t="s">
        <v>648</v>
      </c>
      <c r="E37" s="8">
        <v>175</v>
      </c>
      <c r="F37" s="8"/>
      <c r="G37" s="8"/>
      <c r="H37" s="8"/>
      <c r="I37" s="11">
        <f>ROUND(ROUND((Source!CS28/IF(Source!BS28&lt;&gt;0,Source!BS28,1)*Source!I28),2)*1.75,2)</f>
        <v>3.05</v>
      </c>
      <c r="J37" s="8">
        <v>167</v>
      </c>
      <c r="K37" s="11"/>
    </row>
    <row r="38" spans="1:11" ht="12.75">
      <c r="A38" s="30"/>
      <c r="B38" s="30"/>
      <c r="C38" s="30" t="s">
        <v>651</v>
      </c>
      <c r="D38" s="30" t="s">
        <v>652</v>
      </c>
      <c r="E38" s="30">
        <f>Source!AQ28</f>
        <v>2.08</v>
      </c>
      <c r="F38" s="30"/>
      <c r="G38" s="31" t="str">
        <f>Source!DI28</f>
        <v>)*0,4</v>
      </c>
      <c r="H38" s="30">
        <f>Source!AV28</f>
        <v>1.047</v>
      </c>
      <c r="I38" s="32">
        <f>ROUND(Source!U28,2)</f>
        <v>3.48</v>
      </c>
      <c r="J38" s="30"/>
      <c r="K38" s="30"/>
    </row>
    <row r="39" spans="9:24" ht="12.75">
      <c r="I39" s="33">
        <f>ROUND((Source!CT28/IF(Source!BA28&lt;&gt;0,Source!BA28,1)*Source!I28),2)+ROUND((Source!CR28/IF(Source!BB28&lt;&gt;0,Source!BB28,1)*Source!I28),2)+ROUND((Source!CQ28/IF(Source!BC28&lt;&gt;0,Source!BC28,1)*Source!I28),2)+SUM(I35:I37)</f>
        <v>150.97</v>
      </c>
      <c r="J39" s="34"/>
      <c r="K39" s="33"/>
      <c r="L39">
        <f>ROUND((Source!CT28/IF(Source!BA28&lt;&gt;0,Source!BA28,1)*Source!I28),2)</f>
        <v>42.97</v>
      </c>
      <c r="M39" s="12">
        <f>I39</f>
        <v>150.97</v>
      </c>
      <c r="N39" s="12">
        <f>K39</f>
        <v>0</v>
      </c>
      <c r="O39">
        <f>ROUND(IF(Source!BI28=1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P39">
        <f>ROUND(IF(Source!BI28=2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150.96</v>
      </c>
      <c r="Q39">
        <f>ROUND(IF(Source!BI28=3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R39">
        <f>ROUND(IF(Source!BI28=4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U39">
        <f>IF(Source!BI28=1,Source!O28+Source!X28+Source!Y28+Source!R28*167/100,0)</f>
        <v>0</v>
      </c>
      <c r="V39">
        <f>IF(Source!BI28=2,Source!O28+Source!X28+Source!Y28+Source!R28*167/100,0)</f>
        <v>1515.2327</v>
      </c>
      <c r="W39">
        <f>IF(Source!BI28=3,Source!O28+Source!X28+Source!Y28+Source!R28*167/100,0)</f>
        <v>0</v>
      </c>
      <c r="X39">
        <f>IF(Source!BI28=4,Source!O28+Source!X28+Source!Y28+Source!R28*167/100,0)</f>
        <v>0</v>
      </c>
    </row>
    <row r="40" spans="1:25" ht="24">
      <c r="A40" s="26" t="str">
        <f>Source!E29</f>
        <v>2</v>
      </c>
      <c r="B40" s="26" t="str">
        <f>Source!F29</f>
        <v>6.52-1-2</v>
      </c>
      <c r="C40" s="9" t="str">
        <f>Source!G29</f>
        <v>РАЗБОРКА ФУНДАМЕНТОВ БЕТОННЫХ</v>
      </c>
      <c r="D40" s="27" t="str">
        <f>Source!H29</f>
        <v>м3</v>
      </c>
      <c r="E40" s="8">
        <f>ROUND(Source!I29,6)</f>
        <v>0.9</v>
      </c>
      <c r="F40" s="8"/>
      <c r="G40" s="8"/>
      <c r="H40" s="8"/>
      <c r="I40" s="8"/>
      <c r="J40" s="8"/>
      <c r="K40" s="8"/>
      <c r="Y40">
        <v>2</v>
      </c>
    </row>
    <row r="41" spans="1:11" ht="12.75">
      <c r="A41" s="8"/>
      <c r="B41" s="8"/>
      <c r="C41" s="8" t="s">
        <v>644</v>
      </c>
      <c r="D41" s="8"/>
      <c r="E41" s="8"/>
      <c r="F41" s="11">
        <f>Source!AO29</f>
        <v>99.49</v>
      </c>
      <c r="G41" s="28">
        <f>Source!DG29</f>
      </c>
      <c r="H41" s="8">
        <f>Source!AV29</f>
        <v>1.047</v>
      </c>
      <c r="I41" s="11">
        <f>ROUND((Source!CT29/IF(Source!BA29&lt;&gt;0,Source!BA29,1)*Source!I29),2)</f>
        <v>93.75</v>
      </c>
      <c r="J41" s="8">
        <f>Source!BA29</f>
        <v>13.09</v>
      </c>
      <c r="K41" s="11"/>
    </row>
    <row r="42" spans="1:11" ht="12.75">
      <c r="A42" s="8"/>
      <c r="B42" s="8"/>
      <c r="C42" s="8" t="s">
        <v>645</v>
      </c>
      <c r="D42" s="8"/>
      <c r="E42" s="8"/>
      <c r="F42" s="11">
        <f>Source!AM29</f>
        <v>87.32</v>
      </c>
      <c r="G42" s="28">
        <f>Source!DE29</f>
      </c>
      <c r="H42" s="8">
        <f>Source!AV29</f>
        <v>1.047</v>
      </c>
      <c r="I42" s="11">
        <f>ROUND((Source!CR29/IF(Source!BB29&lt;&gt;0,Source!BB29,1)*Source!I29),2)</f>
        <v>82.28</v>
      </c>
      <c r="J42" s="8">
        <f>Source!BB29</f>
        <v>6.35</v>
      </c>
      <c r="K42" s="11"/>
    </row>
    <row r="43" spans="1:12" ht="12.75">
      <c r="A43" s="8"/>
      <c r="B43" s="8"/>
      <c r="C43" s="8" t="s">
        <v>646</v>
      </c>
      <c r="D43" s="8"/>
      <c r="E43" s="8"/>
      <c r="F43" s="11">
        <f>Source!AN29</f>
        <v>26.07</v>
      </c>
      <c r="G43" s="28">
        <f>Source!DF29</f>
      </c>
      <c r="H43" s="8">
        <f>Source!AV29</f>
        <v>1.047</v>
      </c>
      <c r="I43" s="29" t="str">
        <f>CONCATENATE("(",TEXT(+ROUND((Source!CS29/IF(J43&lt;&gt;0,J43,1)*Source!I29),2),"0,00"),")")</f>
        <v>(24,57)</v>
      </c>
      <c r="J43" s="8">
        <f>Source!BS29</f>
        <v>13.09</v>
      </c>
      <c r="K43" s="29"/>
      <c r="L43">
        <f>ROUND(IF(J43&lt;&gt;0,Source!R29/J43,Source!R29),2)</f>
        <v>24.57</v>
      </c>
    </row>
    <row r="44" spans="1:11" ht="12.75">
      <c r="A44" s="8"/>
      <c r="B44" s="8"/>
      <c r="C44" s="8" t="s">
        <v>647</v>
      </c>
      <c r="D44" s="8" t="s">
        <v>648</v>
      </c>
      <c r="E44" s="8">
        <f>Source!DN29</f>
        <v>80</v>
      </c>
      <c r="F44" s="8"/>
      <c r="G44" s="8"/>
      <c r="H44" s="8"/>
      <c r="I44" s="11">
        <f>ROUND((E44/100)*ROUND((Source!CT29/IF(Source!BA29&lt;&gt;0,Source!BA29,1)*Source!I29),2),2)</f>
        <v>75</v>
      </c>
      <c r="J44" s="8">
        <f>Source!AT29</f>
        <v>73</v>
      </c>
      <c r="K44" s="11"/>
    </row>
    <row r="45" spans="1:11" ht="12.75">
      <c r="A45" s="8"/>
      <c r="B45" s="8"/>
      <c r="C45" s="8" t="s">
        <v>649</v>
      </c>
      <c r="D45" s="8" t="s">
        <v>648</v>
      </c>
      <c r="E45" s="8">
        <f>Source!DO29</f>
        <v>55</v>
      </c>
      <c r="F45" s="8"/>
      <c r="G45" s="8"/>
      <c r="H45" s="8"/>
      <c r="I45" s="11">
        <f>ROUND((E45/100)*ROUND((Source!CT29/IF(Source!BA29&lt;&gt;0,Source!BA29,1)*Source!I29),2),2)</f>
        <v>51.56</v>
      </c>
      <c r="J45" s="8">
        <f>Source!AU29</f>
        <v>42</v>
      </c>
      <c r="K45" s="11"/>
    </row>
    <row r="46" spans="1:11" ht="12.75">
      <c r="A46" s="8"/>
      <c r="B46" s="8"/>
      <c r="C46" s="8" t="s">
        <v>650</v>
      </c>
      <c r="D46" s="8" t="s">
        <v>648</v>
      </c>
      <c r="E46" s="8">
        <v>175</v>
      </c>
      <c r="F46" s="8"/>
      <c r="G46" s="8"/>
      <c r="H46" s="8"/>
      <c r="I46" s="11">
        <f>ROUND(ROUND((Source!CS29/IF(Source!BS29&lt;&gt;0,Source!BS29,1)*Source!I29),2)*1.75,2)</f>
        <v>43</v>
      </c>
      <c r="J46" s="8">
        <v>167</v>
      </c>
      <c r="K46" s="11"/>
    </row>
    <row r="47" spans="1:11" ht="12.75">
      <c r="A47" s="30"/>
      <c r="B47" s="30"/>
      <c r="C47" s="30" t="s">
        <v>651</v>
      </c>
      <c r="D47" s="30" t="s">
        <v>652</v>
      </c>
      <c r="E47" s="30">
        <f>Source!AQ29</f>
        <v>8.27</v>
      </c>
      <c r="F47" s="30"/>
      <c r="G47" s="31">
        <f>Source!DI29</f>
      </c>
      <c r="H47" s="30">
        <f>Source!AV29</f>
        <v>1.047</v>
      </c>
      <c r="I47" s="32">
        <f>ROUND(Source!U29,2)</f>
        <v>7.79</v>
      </c>
      <c r="J47" s="30"/>
      <c r="K47" s="30"/>
    </row>
    <row r="48" spans="9:24" ht="12.75">
      <c r="I48" s="33">
        <f>ROUND((Source!CT29/IF(Source!BA29&lt;&gt;0,Source!BA29,1)*Source!I29),2)+ROUND((Source!CR29/IF(Source!BB29&lt;&gt;0,Source!BB29,1)*Source!I29),2)+ROUND((Source!CQ29/IF(Source!BC29&lt;&gt;0,Source!BC29,1)*Source!I29),2)+SUM(I44:I46)</f>
        <v>345.59000000000003</v>
      </c>
      <c r="J48" s="34"/>
      <c r="K48" s="33"/>
      <c r="L48">
        <f>ROUND((Source!CT29/IF(Source!BA29&lt;&gt;0,Source!BA29,1)*Source!I29),2)</f>
        <v>93.75</v>
      </c>
      <c r="M48" s="12">
        <f>I48</f>
        <v>345.59000000000003</v>
      </c>
      <c r="N48" s="12">
        <f>K48</f>
        <v>0</v>
      </c>
      <c r="O48">
        <f>ROUND(IF(Source!BI29=1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345.59</v>
      </c>
      <c r="P48">
        <f>ROUND(IF(Source!BI29=2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Q48">
        <f>ROUND(IF(Source!BI29=3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R48">
        <f>ROUND(IF(Source!BI29=4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U48">
        <f>IF(Source!BI29=1,Source!O29+Source!X29+Source!Y29+Source!R29*167/100,0)</f>
        <v>3697.9519000000005</v>
      </c>
      <c r="V48">
        <f>IF(Source!BI29=2,Source!O29+Source!X29+Source!Y29+Source!R29*167/100,0)</f>
        <v>0</v>
      </c>
      <c r="W48">
        <f>IF(Source!BI29=3,Source!O29+Source!X29+Source!Y29+Source!R29*167/100,0)</f>
        <v>0</v>
      </c>
      <c r="X48">
        <f>IF(Source!BI29=4,Source!O29+Source!X29+Source!Y29+Source!R29*167/100,0)</f>
        <v>0</v>
      </c>
    </row>
    <row r="49" spans="1:25" ht="12.75">
      <c r="A49" s="26" t="str">
        <f>Source!E30</f>
        <v>3</v>
      </c>
      <c r="B49" s="26" t="str">
        <f>Source!F30</f>
        <v>3.33-31-3</v>
      </c>
      <c r="C49" s="9" t="str">
        <f>Source!G30</f>
        <v>ДЕМОНТАЖ КОЛОНОК</v>
      </c>
      <c r="D49" s="27" t="str">
        <f>Source!H30</f>
        <v>опора</v>
      </c>
      <c r="E49" s="8">
        <f>ROUND(Source!I30,6)</f>
        <v>1</v>
      </c>
      <c r="F49" s="8"/>
      <c r="G49" s="8"/>
      <c r="H49" s="8"/>
      <c r="I49" s="8"/>
      <c r="J49" s="8"/>
      <c r="K49" s="8"/>
      <c r="Y49">
        <v>3</v>
      </c>
    </row>
    <row r="50" spans="1:11" ht="12.75">
      <c r="A50" s="8"/>
      <c r="B50" s="8"/>
      <c r="C50" s="8" t="s">
        <v>644</v>
      </c>
      <c r="D50" s="8"/>
      <c r="E50" s="8"/>
      <c r="F50" s="11">
        <f>Source!AO30</f>
        <v>12.26</v>
      </c>
      <c r="G50" s="28">
        <f>Source!DG30</f>
      </c>
      <c r="H50" s="8">
        <f>Source!AV30</f>
        <v>1.087</v>
      </c>
      <c r="I50" s="11">
        <f>ROUND((Source!CT30/IF(Source!BA30&lt;&gt;0,Source!BA30,1)*Source!I30),2)</f>
        <v>13.33</v>
      </c>
      <c r="J50" s="8">
        <f>Source!BA30</f>
        <v>13.09</v>
      </c>
      <c r="K50" s="11"/>
    </row>
    <row r="51" spans="1:11" ht="12.75">
      <c r="A51" s="8"/>
      <c r="B51" s="8"/>
      <c r="C51" s="8" t="s">
        <v>645</v>
      </c>
      <c r="D51" s="8"/>
      <c r="E51" s="8"/>
      <c r="F51" s="11">
        <f>Source!AM30</f>
        <v>51.05</v>
      </c>
      <c r="G51" s="28">
        <f>Source!DE30</f>
      </c>
      <c r="H51" s="8">
        <f>Source!AV30</f>
        <v>1.087</v>
      </c>
      <c r="I51" s="11">
        <f>ROUND((Source!CR30/IF(Source!BB30&lt;&gt;0,Source!BB30,1)*Source!I30),2)</f>
        <v>55.49</v>
      </c>
      <c r="J51" s="8">
        <f>Source!BB30</f>
        <v>6.31</v>
      </c>
      <c r="K51" s="11"/>
    </row>
    <row r="52" spans="1:12" ht="12.75">
      <c r="A52" s="8"/>
      <c r="B52" s="8"/>
      <c r="C52" s="8" t="s">
        <v>646</v>
      </c>
      <c r="D52" s="8"/>
      <c r="E52" s="8"/>
      <c r="F52" s="11">
        <f>Source!AN30</f>
        <v>15.02</v>
      </c>
      <c r="G52" s="28">
        <f>Source!DF30</f>
      </c>
      <c r="H52" s="8">
        <f>Source!AV30</f>
        <v>1.087</v>
      </c>
      <c r="I52" s="29" t="str">
        <f>CONCATENATE("(",TEXT(+ROUND((Source!CS30/IF(J52&lt;&gt;0,J52,1)*Source!I30),2),"0,00"),")")</f>
        <v>(16,33)</v>
      </c>
      <c r="J52" s="8">
        <f>Source!BS30</f>
        <v>13.09</v>
      </c>
      <c r="K52" s="29"/>
      <c r="L52">
        <f>ROUND(IF(J52&lt;&gt;0,Source!R30/J52,Source!R30),2)</f>
        <v>16.33</v>
      </c>
    </row>
    <row r="53" spans="1:11" ht="12.75">
      <c r="A53" s="8"/>
      <c r="B53" s="8"/>
      <c r="C53" s="8" t="s">
        <v>647</v>
      </c>
      <c r="D53" s="8" t="s">
        <v>648</v>
      </c>
      <c r="E53" s="8">
        <f>Source!DN30</f>
        <v>114</v>
      </c>
      <c r="F53" s="8"/>
      <c r="G53" s="8"/>
      <c r="H53" s="8"/>
      <c r="I53" s="11">
        <f>ROUND((E53/100)*ROUND((Source!CT30/IF(Source!BA30&lt;&gt;0,Source!BA30,1)*Source!I30),2),2)</f>
        <v>15.2</v>
      </c>
      <c r="J53" s="8">
        <f>Source!AT30</f>
        <v>98</v>
      </c>
      <c r="K53" s="11"/>
    </row>
    <row r="54" spans="1:11" ht="12.75">
      <c r="A54" s="8"/>
      <c r="B54" s="8"/>
      <c r="C54" s="8" t="s">
        <v>649</v>
      </c>
      <c r="D54" s="8" t="s">
        <v>648</v>
      </c>
      <c r="E54" s="8">
        <f>Source!DO30</f>
        <v>80</v>
      </c>
      <c r="F54" s="8"/>
      <c r="G54" s="8"/>
      <c r="H54" s="8"/>
      <c r="I54" s="11">
        <f>ROUND((E54/100)*ROUND((Source!CT30/IF(Source!BA30&lt;&gt;0,Source!BA30,1)*Source!I30),2),2)</f>
        <v>10.66</v>
      </c>
      <c r="J54" s="8">
        <f>Source!AU30</f>
        <v>42</v>
      </c>
      <c r="K54" s="11"/>
    </row>
    <row r="55" spans="1:11" ht="12.75">
      <c r="A55" s="8"/>
      <c r="B55" s="8"/>
      <c r="C55" s="8" t="s">
        <v>650</v>
      </c>
      <c r="D55" s="8" t="s">
        <v>648</v>
      </c>
      <c r="E55" s="8">
        <v>175</v>
      </c>
      <c r="F55" s="8"/>
      <c r="G55" s="8"/>
      <c r="H55" s="8"/>
      <c r="I55" s="11">
        <f>ROUND(ROUND((Source!CS30/IF(Source!BS30&lt;&gt;0,Source!BS30,1)*Source!I30),2)*1.75,2)</f>
        <v>28.58</v>
      </c>
      <c r="J55" s="8">
        <v>167</v>
      </c>
      <c r="K55" s="11"/>
    </row>
    <row r="56" spans="1:11" ht="12.75">
      <c r="A56" s="30"/>
      <c r="B56" s="30"/>
      <c r="C56" s="30" t="s">
        <v>651</v>
      </c>
      <c r="D56" s="30" t="s">
        <v>652</v>
      </c>
      <c r="E56" s="30">
        <f>Source!AQ30</f>
        <v>1.03</v>
      </c>
      <c r="F56" s="30"/>
      <c r="G56" s="31">
        <f>Source!DI30</f>
      </c>
      <c r="H56" s="30">
        <f>Source!AV30</f>
        <v>1.087</v>
      </c>
      <c r="I56" s="32">
        <f>ROUND(Source!U30,2)</f>
        <v>1.12</v>
      </c>
      <c r="J56" s="30"/>
      <c r="K56" s="30"/>
    </row>
    <row r="57" spans="9:24" ht="12.75">
      <c r="I57" s="33">
        <f>ROUND((Source!CT30/IF(Source!BA30&lt;&gt;0,Source!BA30,1)*Source!I30),2)+ROUND((Source!CR30/IF(Source!BB30&lt;&gt;0,Source!BB30,1)*Source!I30),2)+ROUND((Source!CQ30/IF(Source!BC30&lt;&gt;0,Source!BC30,1)*Source!I30),2)+SUM(I53:I55)</f>
        <v>123.26</v>
      </c>
      <c r="J57" s="34"/>
      <c r="K57" s="33"/>
      <c r="L57">
        <f>ROUND((Source!CT30/IF(Source!BA30&lt;&gt;0,Source!BA30,1)*Source!I30),2)</f>
        <v>13.33</v>
      </c>
      <c r="M57" s="12">
        <f>I57</f>
        <v>123.26</v>
      </c>
      <c r="N57" s="12">
        <f>K57</f>
        <v>0</v>
      </c>
      <c r="O57">
        <f>ROUND(IF(Source!BI30=1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123.26</v>
      </c>
      <c r="P57">
        <f>ROUND(IF(Source!BI30=2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Q57">
        <f>ROUND(IF(Source!BI30=3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R57">
        <f>ROUND(IF(Source!BI30=4,(ROUND((Source!CT30/IF(Source!BA30&lt;&gt;0,Source!BA30,1)*Source!I30),2)+ROUND((Source!CR30/IF(Source!BB30&lt;&gt;0,Source!BB30,1)*Source!I30),2)+ROUND((Source!CQ30/IF(Source!BC30&lt;&gt;0,Source!BC30,1)*Source!I30),2)+((Source!DN30/100)*ROUND((Source!CT30/IF(Source!BA30&lt;&gt;0,Source!BA30,1)*Source!I30),2))+((Source!DO30/100)*ROUND((Source!CT30/IF(Source!BA30&lt;&gt;0,Source!BA30,1)*Source!I30),2))+(ROUND((Source!CS30/IF(Source!BS30&lt;&gt;0,Source!BS30,1)*Source!I30),2)*1.75)),0),2)</f>
        <v>0</v>
      </c>
      <c r="U57">
        <f>IF(Source!BI30=1,Source!O30+Source!X30+Source!Y30+Source!R30*167/100,0)</f>
        <v>1125.7424</v>
      </c>
      <c r="V57">
        <f>IF(Source!BI30=2,Source!O30+Source!X30+Source!Y30+Source!R30*167/100,0)</f>
        <v>0</v>
      </c>
      <c r="W57">
        <f>IF(Source!BI30=3,Source!O30+Source!X30+Source!Y30+Source!R30*167/100,0)</f>
        <v>0</v>
      </c>
      <c r="X57">
        <f>IF(Source!BI30=4,Source!O30+Source!X30+Source!Y30+Source!R30*167/100,0)</f>
        <v>0</v>
      </c>
    </row>
    <row r="58" spans="1:25" ht="23.25">
      <c r="A58" s="26" t="str">
        <f>Source!E31</f>
        <v>4</v>
      </c>
      <c r="B58" s="26" t="s">
        <v>653</v>
      </c>
      <c r="C58" s="9" t="str">
        <f>Source!G31</f>
        <v>ДЕМОНТАЖ ДВП</v>
      </c>
      <c r="D58" s="27" t="str">
        <f>Source!H31</f>
        <v>шт.</v>
      </c>
      <c r="E58" s="8">
        <f>ROUND(Source!I31,6)</f>
        <v>1</v>
      </c>
      <c r="F58" s="8"/>
      <c r="G58" s="8"/>
      <c r="H58" s="8"/>
      <c r="I58" s="8"/>
      <c r="J58" s="8"/>
      <c r="K58" s="8"/>
      <c r="Y58">
        <v>4</v>
      </c>
    </row>
    <row r="59" spans="1:11" ht="12.75">
      <c r="A59" s="8"/>
      <c r="B59" s="8"/>
      <c r="C59" s="8" t="s">
        <v>644</v>
      </c>
      <c r="D59" s="8"/>
      <c r="E59" s="8"/>
      <c r="F59" s="11">
        <f>Source!AO31</f>
        <v>69.66</v>
      </c>
      <c r="G59" s="28" t="str">
        <f>Source!DG31</f>
        <v>)*0,4</v>
      </c>
      <c r="H59" s="8">
        <f>Source!AV31</f>
        <v>1.047</v>
      </c>
      <c r="I59" s="11">
        <f>ROUND((Source!CT31/IF(Source!BA31&lt;&gt;0,Source!BA31,1)*Source!I31),2)</f>
        <v>29.17</v>
      </c>
      <c r="J59" s="8">
        <f>Source!BA31</f>
        <v>13.09</v>
      </c>
      <c r="K59" s="11"/>
    </row>
    <row r="60" spans="1:11" ht="12.75">
      <c r="A60" s="8"/>
      <c r="B60" s="8"/>
      <c r="C60" s="8" t="s">
        <v>647</v>
      </c>
      <c r="D60" s="8" t="s">
        <v>648</v>
      </c>
      <c r="E60" s="8">
        <f>Source!DN31</f>
        <v>112</v>
      </c>
      <c r="F60" s="8"/>
      <c r="G60" s="8"/>
      <c r="H60" s="8"/>
      <c r="I60" s="11">
        <f>ROUND((E60/100)*ROUND((Source!CT31/IF(Source!BA31&lt;&gt;0,Source!BA31,1)*Source!I31),2),2)</f>
        <v>32.67</v>
      </c>
      <c r="J60" s="8">
        <f>Source!AT31</f>
        <v>96</v>
      </c>
      <c r="K60" s="11"/>
    </row>
    <row r="61" spans="1:11" ht="12.75">
      <c r="A61" s="8"/>
      <c r="B61" s="8"/>
      <c r="C61" s="8" t="s">
        <v>649</v>
      </c>
      <c r="D61" s="8" t="s">
        <v>648</v>
      </c>
      <c r="E61" s="8">
        <f>Source!DO31</f>
        <v>70</v>
      </c>
      <c r="F61" s="8"/>
      <c r="G61" s="8"/>
      <c r="H61" s="8"/>
      <c r="I61" s="11">
        <f>ROUND((E61/100)*ROUND((Source!CT31/IF(Source!BA31&lt;&gt;0,Source!BA31,1)*Source!I31),2),2)</f>
        <v>20.42</v>
      </c>
      <c r="J61" s="8">
        <f>Source!AU31</f>
        <v>42</v>
      </c>
      <c r="K61" s="11"/>
    </row>
    <row r="62" spans="1:11" ht="12.75">
      <c r="A62" s="30"/>
      <c r="B62" s="30"/>
      <c r="C62" s="30" t="s">
        <v>651</v>
      </c>
      <c r="D62" s="30" t="s">
        <v>652</v>
      </c>
      <c r="E62" s="30">
        <f>Source!AQ31</f>
        <v>6</v>
      </c>
      <c r="F62" s="30"/>
      <c r="G62" s="31" t="str">
        <f>Source!DI31</f>
        <v>)*0,4</v>
      </c>
      <c r="H62" s="30">
        <f>Source!AV31</f>
        <v>1.047</v>
      </c>
      <c r="I62" s="32">
        <f>ROUND(Source!U31,2)</f>
        <v>2.51</v>
      </c>
      <c r="J62" s="30"/>
      <c r="K62" s="30"/>
    </row>
    <row r="63" spans="9:24" ht="12.75">
      <c r="I63" s="33">
        <f>ROUND((Source!CT31/IF(Source!BA31&lt;&gt;0,Source!BA31,1)*Source!I31),2)+ROUND((Source!CR31/IF(Source!BB31&lt;&gt;0,Source!BB31,1)*Source!I31),2)+ROUND((Source!CQ31/IF(Source!BC31&lt;&gt;0,Source!BC31,1)*Source!I31),2)+SUM(I60:I61)</f>
        <v>82.26</v>
      </c>
      <c r="J63" s="34"/>
      <c r="K63" s="33"/>
      <c r="L63">
        <f>ROUND((Source!CT31/IF(Source!BA31&lt;&gt;0,Source!BA31,1)*Source!I31),2)</f>
        <v>29.17</v>
      </c>
      <c r="M63" s="12">
        <f>I63</f>
        <v>82.26</v>
      </c>
      <c r="N63" s="12">
        <f>K63</f>
        <v>0</v>
      </c>
      <c r="O63">
        <f>ROUND(IF(Source!BI31=1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P63">
        <f>ROUND(IF(Source!BI31=2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82.26</v>
      </c>
      <c r="Q63">
        <f>ROUND(IF(Source!BI31=3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R63">
        <f>ROUND(IF(Source!BI31=4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U63">
        <f>IF(Source!BI31=1,Source!O31+Source!X31+Source!Y31+Source!R31*167/100,0)</f>
        <v>0</v>
      </c>
      <c r="V63">
        <f>IF(Source!BI31=2,Source!O31+Source!X31+Source!Y31+Source!R31*167/100,0)</f>
        <v>908.87</v>
      </c>
      <c r="W63">
        <f>IF(Source!BI31=3,Source!O31+Source!X31+Source!Y31+Source!R31*167/100,0)</f>
        <v>0</v>
      </c>
      <c r="X63">
        <f>IF(Source!BI31=4,Source!O31+Source!X31+Source!Y31+Source!R31*167/100,0)</f>
        <v>0</v>
      </c>
    </row>
    <row r="65" spans="3:12" s="34" customFormat="1" ht="12.75">
      <c r="C65" s="34" t="s">
        <v>654</v>
      </c>
      <c r="H65" s="42">
        <f>SUM(M31:M64)</f>
        <v>702.08</v>
      </c>
      <c r="I65" s="42"/>
      <c r="J65" s="42">
        <f>SUM(N31:N64)</f>
        <v>0</v>
      </c>
      <c r="K65" s="42"/>
      <c r="L65" s="33">
        <f>SUM(L31:L64)</f>
        <v>221.86</v>
      </c>
    </row>
    <row r="67" spans="3:27" ht="15.75">
      <c r="C67" s="24" t="s">
        <v>642</v>
      </c>
      <c r="D67" s="40" t="str">
        <f>IF(Source!C12="1",Source!F49,Source!G49)</f>
        <v>Монтажные работы</v>
      </c>
      <c r="E67" s="41"/>
      <c r="F67" s="41"/>
      <c r="G67" s="41"/>
      <c r="H67" s="41"/>
      <c r="I67" s="41"/>
      <c r="J67" s="41"/>
      <c r="K67" s="41"/>
      <c r="AA67" s="35" t="str">
        <f>IF(Source!C12="1",Source!F49,Source!G49)</f>
        <v>Монтажные работы</v>
      </c>
    </row>
    <row r="69" spans="1:25" ht="60">
      <c r="A69" s="26" t="str">
        <f>Source!E53</f>
        <v>5</v>
      </c>
      <c r="B69" s="26" t="str">
        <f>Source!F53</f>
        <v>4.8-187-2</v>
      </c>
      <c r="C69" s="9" t="str">
        <f>Source!G53</f>
        <v>ЗАЗЕМЛЯЮЩИЕ ПРОВОДНИКИ, ЗАЗЕМЛИТЕЛЬ ГОРИЗОНТАЛЬНЫЙ В ТРАНШЕЕ ИЗ: ПОЛОСОВОЙ СТАЛИ, СЕЧЕНИЕ 160 ММ2</v>
      </c>
      <c r="D69" s="27" t="str">
        <f>Source!H53</f>
        <v>100 м</v>
      </c>
      <c r="E69" s="8">
        <f>ROUND(Source!I53,6)</f>
        <v>0.055</v>
      </c>
      <c r="F69" s="8"/>
      <c r="G69" s="8"/>
      <c r="H69" s="8"/>
      <c r="I69" s="8"/>
      <c r="J69" s="8"/>
      <c r="K69" s="8"/>
      <c r="Y69">
        <v>5</v>
      </c>
    </row>
    <row r="70" spans="1:11" ht="12.75">
      <c r="A70" s="8"/>
      <c r="B70" s="8"/>
      <c r="C70" s="8" t="s">
        <v>644</v>
      </c>
      <c r="D70" s="8"/>
      <c r="E70" s="8"/>
      <c r="F70" s="11">
        <f>Source!AO53</f>
        <v>177.55</v>
      </c>
      <c r="G70" s="28">
        <f>Source!DG53</f>
      </c>
      <c r="H70" s="8">
        <f>Source!AV53</f>
        <v>1.067</v>
      </c>
      <c r="I70" s="11">
        <f>ROUND((Source!CT53/IF(Source!BA53&lt;&gt;0,Source!BA53,1)*Source!I53),2)</f>
        <v>10.42</v>
      </c>
      <c r="J70" s="8">
        <f>Source!BA53</f>
        <v>13.09</v>
      </c>
      <c r="K70" s="11"/>
    </row>
    <row r="71" spans="1:11" ht="12.75">
      <c r="A71" s="8"/>
      <c r="B71" s="8"/>
      <c r="C71" s="8" t="s">
        <v>645</v>
      </c>
      <c r="D71" s="8"/>
      <c r="E71" s="8"/>
      <c r="F71" s="11">
        <f>Source!AM53</f>
        <v>134.11</v>
      </c>
      <c r="G71" s="28">
        <f>Source!DE53</f>
      </c>
      <c r="H71" s="8">
        <f>Source!AV53</f>
        <v>1.067</v>
      </c>
      <c r="I71" s="11">
        <f>ROUND((Source!CR53/IF(Source!BB53&lt;&gt;0,Source!BB53,1)*Source!I53),2)</f>
        <v>7.87</v>
      </c>
      <c r="J71" s="8">
        <f>Source!BB53</f>
        <v>5.5</v>
      </c>
      <c r="K71" s="11"/>
    </row>
    <row r="72" spans="1:12" ht="12.75">
      <c r="A72" s="8"/>
      <c r="B72" s="8"/>
      <c r="C72" s="8" t="s">
        <v>646</v>
      </c>
      <c r="D72" s="8"/>
      <c r="E72" s="8"/>
      <c r="F72" s="11">
        <f>Source!AN53</f>
        <v>11.17</v>
      </c>
      <c r="G72" s="28">
        <f>Source!DF53</f>
      </c>
      <c r="H72" s="8">
        <f>Source!AV53</f>
        <v>1.067</v>
      </c>
      <c r="I72" s="29" t="str">
        <f>CONCATENATE("(",TEXT(+ROUND((Source!CS53/IF(J72&lt;&gt;0,J72,1)*Source!I53),2),"0,00"),")")</f>
        <v>(0,66)</v>
      </c>
      <c r="J72" s="8">
        <f>Source!BS53</f>
        <v>13.09</v>
      </c>
      <c r="K72" s="29"/>
      <c r="L72">
        <f>ROUND(IF(J72&lt;&gt;0,Source!R53/J72,Source!R53),2)</f>
        <v>0.66</v>
      </c>
    </row>
    <row r="73" spans="1:11" ht="12.75">
      <c r="A73" s="8"/>
      <c r="B73" s="8"/>
      <c r="C73" s="8" t="s">
        <v>655</v>
      </c>
      <c r="D73" s="8"/>
      <c r="E73" s="8"/>
      <c r="F73" s="11">
        <f>Source!AL53</f>
        <v>210.7</v>
      </c>
      <c r="G73" s="8">
        <f>Source!DD53</f>
      </c>
      <c r="H73" s="8">
        <f>Source!AW53</f>
        <v>1.081</v>
      </c>
      <c r="I73" s="11">
        <f>ROUND((Source!CQ53/IF(Source!BC53&lt;&gt;0,Source!BC53,1)*Source!I53),2)</f>
        <v>12.53</v>
      </c>
      <c r="J73" s="8">
        <f>Source!BC53</f>
        <v>4.56</v>
      </c>
      <c r="K73" s="11"/>
    </row>
    <row r="74" spans="1:11" ht="12.75">
      <c r="A74" s="8"/>
      <c r="B74" s="8"/>
      <c r="C74" s="8" t="s">
        <v>647</v>
      </c>
      <c r="D74" s="8" t="s">
        <v>648</v>
      </c>
      <c r="E74" s="8">
        <f>Source!DN53</f>
        <v>112</v>
      </c>
      <c r="F74" s="8"/>
      <c r="G74" s="8"/>
      <c r="H74" s="8"/>
      <c r="I74" s="11">
        <f>ROUND((E74/100)*ROUND((Source!CT53/IF(Source!BA53&lt;&gt;0,Source!BA53,1)*Source!I53),2),2)</f>
        <v>11.67</v>
      </c>
      <c r="J74" s="8">
        <f>Source!AT53</f>
        <v>96</v>
      </c>
      <c r="K74" s="11"/>
    </row>
    <row r="75" spans="1:11" ht="12.75">
      <c r="A75" s="8"/>
      <c r="B75" s="8"/>
      <c r="C75" s="8" t="s">
        <v>649</v>
      </c>
      <c r="D75" s="8" t="s">
        <v>648</v>
      </c>
      <c r="E75" s="8">
        <f>Source!DO53</f>
        <v>70</v>
      </c>
      <c r="F75" s="8"/>
      <c r="G75" s="8"/>
      <c r="H75" s="8"/>
      <c r="I75" s="11">
        <f>ROUND((E75/100)*ROUND((Source!CT53/IF(Source!BA53&lt;&gt;0,Source!BA53,1)*Source!I53),2),2)</f>
        <v>7.29</v>
      </c>
      <c r="J75" s="8">
        <f>Source!AU53</f>
        <v>42</v>
      </c>
      <c r="K75" s="11"/>
    </row>
    <row r="76" spans="1:11" ht="12.75">
      <c r="A76" s="8"/>
      <c r="B76" s="8"/>
      <c r="C76" s="8" t="s">
        <v>650</v>
      </c>
      <c r="D76" s="8" t="s">
        <v>648</v>
      </c>
      <c r="E76" s="8">
        <v>175</v>
      </c>
      <c r="F76" s="8"/>
      <c r="G76" s="8"/>
      <c r="H76" s="8"/>
      <c r="I76" s="11">
        <f>ROUND(ROUND((Source!CS53/IF(Source!BS53&lt;&gt;0,Source!BS53,1)*Source!I53),2)*1.75,2)</f>
        <v>1.16</v>
      </c>
      <c r="J76" s="8">
        <v>167</v>
      </c>
      <c r="K76" s="11"/>
    </row>
    <row r="77" spans="1:11" ht="12.75">
      <c r="A77" s="30"/>
      <c r="B77" s="30"/>
      <c r="C77" s="30" t="s">
        <v>651</v>
      </c>
      <c r="D77" s="30" t="s">
        <v>652</v>
      </c>
      <c r="E77" s="30">
        <f>Source!AQ53</f>
        <v>14.4</v>
      </c>
      <c r="F77" s="30"/>
      <c r="G77" s="31">
        <f>Source!DI53</f>
      </c>
      <c r="H77" s="30">
        <f>Source!AV53</f>
        <v>1.067</v>
      </c>
      <c r="I77" s="32">
        <f>ROUND(Source!U53,2)</f>
        <v>0.85</v>
      </c>
      <c r="J77" s="30"/>
      <c r="K77" s="30"/>
    </row>
    <row r="78" spans="9:24" ht="12.75">
      <c r="I78" s="33">
        <f>ROUND((Source!CT53/IF(Source!BA53&lt;&gt;0,Source!BA53,1)*Source!I53),2)+ROUND((Source!CR53/IF(Source!BB53&lt;&gt;0,Source!BB53,1)*Source!I53),2)+ROUND((Source!CQ53/IF(Source!BC53&lt;&gt;0,Source!BC53,1)*Source!I53),2)+SUM(I74:I76)</f>
        <v>50.94</v>
      </c>
      <c r="J78" s="34"/>
      <c r="K78" s="33"/>
      <c r="L78">
        <f>ROUND((Source!CT53/IF(Source!BA53&lt;&gt;0,Source!BA53,1)*Source!I53),2)</f>
        <v>10.42</v>
      </c>
      <c r="M78" s="12">
        <f>I78</f>
        <v>50.94</v>
      </c>
      <c r="N78" s="12">
        <f>K78</f>
        <v>0</v>
      </c>
      <c r="O78">
        <f>ROUND(IF(Source!BI53=1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P78">
        <f>ROUND(IF(Source!BI53=2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50.94</v>
      </c>
      <c r="Q78">
        <f>ROUND(IF(Source!BI53=3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R78">
        <f>ROUND(IF(Source!BI53=4,(ROUND((Source!CT53/IF(Source!BA53&lt;&gt;0,Source!BA53,1)*Source!I53),2)+ROUND((Source!CR53/IF(Source!BB53&lt;&gt;0,Source!BB53,1)*Source!I53),2)+ROUND((Source!CQ53/IF(Source!BC53&lt;&gt;0,Source!BC53,1)*Source!I53),2)+((Source!DN53/100)*ROUND((Source!CT53/IF(Source!BA53&lt;&gt;0,Source!BA53,1)*Source!I53),2))+((Source!DO53/100)*ROUND((Source!CT53/IF(Source!BA53&lt;&gt;0,Source!BA53,1)*Source!I53),2))+(ROUND((Source!CS53/IF(Source!BS53&lt;&gt;0,Source!BS53,1)*Source!I53),2)*1.75)),0),2)</f>
        <v>0</v>
      </c>
      <c r="U78">
        <f>IF(Source!BI53=1,Source!O53+Source!X53+Source!Y53+Source!R53*167/100,0)</f>
        <v>0</v>
      </c>
      <c r="V78">
        <f>IF(Source!BI53=2,Source!O53+Source!X53+Source!Y53+Source!R53*167/100,0)</f>
        <v>439.3386</v>
      </c>
      <c r="W78">
        <f>IF(Source!BI53=3,Source!O53+Source!X53+Source!Y53+Source!R53*167/100,0)</f>
        <v>0</v>
      </c>
      <c r="X78">
        <f>IF(Source!BI53=4,Source!O53+Source!X53+Source!Y53+Source!R53*167/100,0)</f>
        <v>0</v>
      </c>
    </row>
    <row r="79" spans="1:25" ht="36">
      <c r="A79" s="26" t="str">
        <f>Source!E54</f>
        <v>6</v>
      </c>
      <c r="B79" s="26" t="str">
        <f>Source!F54</f>
        <v>4.8-186-1</v>
      </c>
      <c r="C79" s="9" t="str">
        <f>Source!G54</f>
        <v>ЗАЗЕМЛИТЕЛИ ВЕРТИКАЛЬНЫЕ, ЗАЗЕМЛИТЕЛЬ ИЗ СТАЛИ УГЛОВОЙ, РАЗМЕР: 50Х50Х5 ММ</v>
      </c>
      <c r="D79" s="27" t="str">
        <f>Source!H54</f>
        <v>10 шт.</v>
      </c>
      <c r="E79" s="8">
        <f>ROUND(Source!I54,6)</f>
        <v>0.3</v>
      </c>
      <c r="F79" s="8"/>
      <c r="G79" s="8"/>
      <c r="H79" s="8"/>
      <c r="I79" s="8"/>
      <c r="J79" s="8"/>
      <c r="K79" s="8"/>
      <c r="Y79">
        <v>6</v>
      </c>
    </row>
    <row r="80" spans="1:11" ht="12.75">
      <c r="A80" s="8"/>
      <c r="B80" s="8"/>
      <c r="C80" s="8" t="s">
        <v>644</v>
      </c>
      <c r="D80" s="8"/>
      <c r="E80" s="8"/>
      <c r="F80" s="11">
        <f>Source!AO54</f>
        <v>114.3</v>
      </c>
      <c r="G80" s="28">
        <f>Source!DG54</f>
      </c>
      <c r="H80" s="8">
        <f>Source!AV54</f>
        <v>1.067</v>
      </c>
      <c r="I80" s="11">
        <f>ROUND((Source!CT54/IF(Source!BA54&lt;&gt;0,Source!BA54,1)*Source!I54),2)</f>
        <v>36.59</v>
      </c>
      <c r="J80" s="8">
        <f>Source!BA54</f>
        <v>13.09</v>
      </c>
      <c r="K80" s="11"/>
    </row>
    <row r="81" spans="1:11" ht="12.75">
      <c r="A81" s="8"/>
      <c r="B81" s="8"/>
      <c r="C81" s="8" t="s">
        <v>645</v>
      </c>
      <c r="D81" s="8"/>
      <c r="E81" s="8"/>
      <c r="F81" s="11">
        <f>Source!AM54</f>
        <v>79.93</v>
      </c>
      <c r="G81" s="28">
        <f>Source!DE54</f>
      </c>
      <c r="H81" s="8">
        <f>Source!AV54</f>
        <v>1.067</v>
      </c>
      <c r="I81" s="11">
        <f>ROUND((Source!CR54/IF(Source!BB54&lt;&gt;0,Source!BB54,1)*Source!I54),2)</f>
        <v>25.59</v>
      </c>
      <c r="J81" s="8">
        <f>Source!BB54</f>
        <v>5.59</v>
      </c>
      <c r="K81" s="11"/>
    </row>
    <row r="82" spans="1:12" ht="12.75">
      <c r="A82" s="8"/>
      <c r="B82" s="8"/>
      <c r="C82" s="8" t="s">
        <v>646</v>
      </c>
      <c r="D82" s="8"/>
      <c r="E82" s="8"/>
      <c r="F82" s="11">
        <f>Source!AN54</f>
        <v>7.39</v>
      </c>
      <c r="G82" s="28">
        <f>Source!DF54</f>
      </c>
      <c r="H82" s="8">
        <f>Source!AV54</f>
        <v>1.067</v>
      </c>
      <c r="I82" s="29" t="str">
        <f>CONCATENATE("(",TEXT(+ROUND((Source!CS54/IF(J82&lt;&gt;0,J82,1)*Source!I54),2),"0,00"),")")</f>
        <v>(2,37)</v>
      </c>
      <c r="J82" s="8">
        <f>Source!BS54</f>
        <v>13.09</v>
      </c>
      <c r="K82" s="29"/>
      <c r="L82">
        <f>ROUND(IF(J82&lt;&gt;0,Source!R54/J82,Source!R54),2)</f>
        <v>2.37</v>
      </c>
    </row>
    <row r="83" spans="1:11" ht="12.75">
      <c r="A83" s="8"/>
      <c r="B83" s="8"/>
      <c r="C83" s="8" t="s">
        <v>655</v>
      </c>
      <c r="D83" s="8"/>
      <c r="E83" s="8"/>
      <c r="F83" s="11">
        <f>Source!AL54</f>
        <v>154.7</v>
      </c>
      <c r="G83" s="8">
        <f>Source!DD54</f>
      </c>
      <c r="H83" s="8">
        <f>Source!AW54</f>
        <v>1.081</v>
      </c>
      <c r="I83" s="11">
        <f>ROUND((Source!CQ54/IF(Source!BC54&lt;&gt;0,Source!BC54,1)*Source!I54),2)</f>
        <v>50.17</v>
      </c>
      <c r="J83" s="8">
        <f>Source!BC54</f>
        <v>4.56</v>
      </c>
      <c r="K83" s="11"/>
    </row>
    <row r="84" spans="1:11" ht="12.75">
      <c r="A84" s="8"/>
      <c r="B84" s="8"/>
      <c r="C84" s="8" t="s">
        <v>647</v>
      </c>
      <c r="D84" s="8" t="s">
        <v>648</v>
      </c>
      <c r="E84" s="8">
        <f>Source!DN54</f>
        <v>112</v>
      </c>
      <c r="F84" s="8"/>
      <c r="G84" s="8"/>
      <c r="H84" s="8"/>
      <c r="I84" s="11">
        <f>ROUND((E84/100)*ROUND((Source!CT54/IF(Source!BA54&lt;&gt;0,Source!BA54,1)*Source!I54),2),2)</f>
        <v>40.98</v>
      </c>
      <c r="J84" s="8">
        <f>Source!AT54</f>
        <v>96</v>
      </c>
      <c r="K84" s="11"/>
    </row>
    <row r="85" spans="1:11" ht="12.75">
      <c r="A85" s="8"/>
      <c r="B85" s="8"/>
      <c r="C85" s="8" t="s">
        <v>649</v>
      </c>
      <c r="D85" s="8" t="s">
        <v>648</v>
      </c>
      <c r="E85" s="8">
        <f>Source!DO54</f>
        <v>70</v>
      </c>
      <c r="F85" s="8"/>
      <c r="G85" s="8"/>
      <c r="H85" s="8"/>
      <c r="I85" s="11">
        <f>ROUND((E85/100)*ROUND((Source!CT54/IF(Source!BA54&lt;&gt;0,Source!BA54,1)*Source!I54),2),2)</f>
        <v>25.61</v>
      </c>
      <c r="J85" s="8">
        <f>Source!AU54</f>
        <v>42</v>
      </c>
      <c r="K85" s="11"/>
    </row>
    <row r="86" spans="1:11" ht="12.75">
      <c r="A86" s="8"/>
      <c r="B86" s="8"/>
      <c r="C86" s="8" t="s">
        <v>650</v>
      </c>
      <c r="D86" s="8" t="s">
        <v>648</v>
      </c>
      <c r="E86" s="8">
        <v>175</v>
      </c>
      <c r="F86" s="8"/>
      <c r="G86" s="8"/>
      <c r="H86" s="8"/>
      <c r="I86" s="11">
        <f>ROUND(ROUND((Source!CS54/IF(Source!BS54&lt;&gt;0,Source!BS54,1)*Source!I54),2)*1.75,2)</f>
        <v>4.15</v>
      </c>
      <c r="J86" s="8">
        <v>167</v>
      </c>
      <c r="K86" s="11"/>
    </row>
    <row r="87" spans="1:11" ht="12.75">
      <c r="A87" s="30"/>
      <c r="B87" s="30"/>
      <c r="C87" s="30" t="s">
        <v>651</v>
      </c>
      <c r="D87" s="30" t="s">
        <v>652</v>
      </c>
      <c r="E87" s="30">
        <f>Source!AQ54</f>
        <v>9.27</v>
      </c>
      <c r="F87" s="30"/>
      <c r="G87" s="31">
        <f>Source!DI54</f>
      </c>
      <c r="H87" s="30">
        <f>Source!AV54</f>
        <v>1.067</v>
      </c>
      <c r="I87" s="32">
        <f>ROUND(Source!U54,2)</f>
        <v>2.97</v>
      </c>
      <c r="J87" s="30"/>
      <c r="K87" s="30"/>
    </row>
    <row r="88" spans="9:24" ht="12.75">
      <c r="I88" s="33">
        <f>ROUND((Source!CT54/IF(Source!BA54&lt;&gt;0,Source!BA54,1)*Source!I54),2)+ROUND((Source!CR54/IF(Source!BB54&lt;&gt;0,Source!BB54,1)*Source!I54),2)+ROUND((Source!CQ54/IF(Source!BC54&lt;&gt;0,Source!BC54,1)*Source!I54),2)+SUM(I84:I86)</f>
        <v>183.09000000000003</v>
      </c>
      <c r="J88" s="34"/>
      <c r="K88" s="33"/>
      <c r="L88">
        <f>ROUND((Source!CT54/IF(Source!BA54&lt;&gt;0,Source!BA54,1)*Source!I54),2)</f>
        <v>36.59</v>
      </c>
      <c r="M88" s="12">
        <f>I88</f>
        <v>183.09000000000003</v>
      </c>
      <c r="N88" s="12">
        <f>K88</f>
        <v>0</v>
      </c>
      <c r="O88">
        <f>ROUND(IF(Source!BI54=1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P88">
        <f>ROUND(IF(Source!BI54=2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183.09</v>
      </c>
      <c r="Q88">
        <f>ROUND(IF(Source!BI54=3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R88">
        <f>ROUND(IF(Source!BI54=4,(ROUND((Source!CT54/IF(Source!BA54&lt;&gt;0,Source!BA54,1)*Source!I54),2)+ROUND((Source!CR54/IF(Source!BB54&lt;&gt;0,Source!BB54,1)*Source!I54),2)+ROUND((Source!CQ54/IF(Source!BC54&lt;&gt;0,Source!BC54,1)*Source!I54),2)+((Source!DN54/100)*ROUND((Source!CT54/IF(Source!BA54&lt;&gt;0,Source!BA54,1)*Source!I54),2))+((Source!DO54/100)*ROUND((Source!CT54/IF(Source!BA54&lt;&gt;0,Source!BA54,1)*Source!I54),2))+(ROUND((Source!CS54/IF(Source!BS54&lt;&gt;0,Source!BS54,1)*Source!I54),2)*1.75)),0),2)</f>
        <v>0</v>
      </c>
      <c r="U88">
        <f>IF(Source!BI54=1,Source!O54+Source!X54+Source!Y54+Source!R54*167/100,0)</f>
        <v>0</v>
      </c>
      <c r="V88">
        <f>IF(Source!BI54=2,Source!O54+Source!X54+Source!Y54+Source!R54*167/100,0)</f>
        <v>1563.3432</v>
      </c>
      <c r="W88">
        <f>IF(Source!BI54=3,Source!O54+Source!X54+Source!Y54+Source!R54*167/100,0)</f>
        <v>0</v>
      </c>
      <c r="X88">
        <f>IF(Source!BI54=4,Source!O54+Source!X54+Source!Y54+Source!R54*167/100,0)</f>
        <v>0</v>
      </c>
    </row>
    <row r="89" spans="1:25" ht="24">
      <c r="A89" s="26" t="str">
        <f>Source!E55</f>
        <v>7</v>
      </c>
      <c r="B89" s="26" t="str">
        <f>Source!F55</f>
        <v>4.8-143-1</v>
      </c>
      <c r="C89" s="9" t="str">
        <f>Source!G55</f>
        <v>КОМПЛЕКТ КРЕПЛЕНИЯ СВЕТОФОРА НА ОПОРУ</v>
      </c>
      <c r="D89" s="27" t="str">
        <f>Source!H55</f>
        <v>шт.</v>
      </c>
      <c r="E89" s="8">
        <f>ROUND(Source!I55,6)</f>
        <v>4</v>
      </c>
      <c r="F89" s="8"/>
      <c r="G89" s="8"/>
      <c r="H89" s="8"/>
      <c r="I89" s="8"/>
      <c r="J89" s="8"/>
      <c r="K89" s="8"/>
      <c r="Y89">
        <v>7</v>
      </c>
    </row>
    <row r="90" spans="1:11" ht="12.75">
      <c r="A90" s="8"/>
      <c r="B90" s="8"/>
      <c r="C90" s="8" t="s">
        <v>644</v>
      </c>
      <c r="D90" s="8"/>
      <c r="E90" s="8"/>
      <c r="F90" s="11">
        <f>Source!AO55</f>
        <v>37.63</v>
      </c>
      <c r="G90" s="28">
        <f>Source!DG55</f>
      </c>
      <c r="H90" s="8">
        <f>Source!AV55</f>
        <v>1.087</v>
      </c>
      <c r="I90" s="11">
        <f>ROUND((Source!CT55/IF(Source!BA55&lt;&gt;0,Source!BA55,1)*Source!I55),2)</f>
        <v>163.62</v>
      </c>
      <c r="J90" s="8">
        <f>Source!BA55</f>
        <v>13.09</v>
      </c>
      <c r="K90" s="11">
        <f>Source!S55</f>
        <v>2141.72</v>
      </c>
    </row>
    <row r="91" spans="1:11" ht="12.75">
      <c r="A91" s="8"/>
      <c r="B91" s="8"/>
      <c r="C91" s="8" t="s">
        <v>645</v>
      </c>
      <c r="D91" s="8"/>
      <c r="E91" s="8"/>
      <c r="F91" s="11">
        <f>Source!AM55</f>
        <v>150.65</v>
      </c>
      <c r="G91" s="28">
        <f>Source!DE55</f>
      </c>
      <c r="H91" s="8">
        <f>Source!AV55</f>
        <v>1.087</v>
      </c>
      <c r="I91" s="11">
        <f>ROUND((Source!CR55/IF(Source!BB55&lt;&gt;0,Source!BB55,1)*Source!I55),2)</f>
        <v>655.03</v>
      </c>
      <c r="J91" s="8">
        <f>Source!BB55</f>
        <v>5.01</v>
      </c>
      <c r="K91" s="11">
        <f>Source!Q55</f>
        <v>3281.68</v>
      </c>
    </row>
    <row r="92" spans="1:12" ht="12.75">
      <c r="A92" s="8"/>
      <c r="B92" s="8"/>
      <c r="C92" s="8" t="s">
        <v>646</v>
      </c>
      <c r="D92" s="8"/>
      <c r="E92" s="8"/>
      <c r="F92" s="11">
        <f>Source!AN55</f>
        <v>29.88</v>
      </c>
      <c r="G92" s="28">
        <f>Source!DF55</f>
      </c>
      <c r="H92" s="8">
        <f>Source!AV55</f>
        <v>1.087</v>
      </c>
      <c r="I92" s="29" t="str">
        <f>CONCATENATE("(",TEXT(+ROUND((Source!CS55/IF(J92&lt;&gt;0,J92,1)*Source!I55),2),"0,00"),")")</f>
        <v>(129,92)</v>
      </c>
      <c r="J92" s="8">
        <f>Source!BS55</f>
        <v>13.09</v>
      </c>
      <c r="K92" s="29" t="str">
        <f>CONCATENATE("(",TEXT(+Source!R55,"0,00"),")")</f>
        <v>(1700,63)</v>
      </c>
      <c r="L92">
        <f>ROUND(IF(J92&lt;&gt;0,Source!R55/J92,Source!R55),2)</f>
        <v>129.92</v>
      </c>
    </row>
    <row r="93" spans="1:11" ht="12.75">
      <c r="A93" s="8"/>
      <c r="B93" s="8"/>
      <c r="C93" s="8" t="s">
        <v>655</v>
      </c>
      <c r="D93" s="8"/>
      <c r="E93" s="8"/>
      <c r="F93" s="11">
        <f>Source!AL55</f>
        <v>5.72</v>
      </c>
      <c r="G93" s="8">
        <f>Source!DD55</f>
      </c>
      <c r="H93" s="8">
        <f>Source!AW55</f>
        <v>1</v>
      </c>
      <c r="I93" s="11">
        <f>ROUND((Source!CQ55/IF(Source!BC55&lt;&gt;0,Source!BC55,1)*Source!I55),2)</f>
        <v>22.88</v>
      </c>
      <c r="J93" s="8">
        <f>Source!BC55</f>
        <v>4.56</v>
      </c>
      <c r="K93" s="11">
        <f>Source!P55</f>
        <v>104.33</v>
      </c>
    </row>
    <row r="94" spans="1:11" ht="12.75">
      <c r="A94" s="8"/>
      <c r="B94" s="8"/>
      <c r="C94" s="8" t="s">
        <v>647</v>
      </c>
      <c r="D94" s="8" t="s">
        <v>648</v>
      </c>
      <c r="E94" s="8">
        <f>Source!DN55</f>
        <v>112</v>
      </c>
      <c r="F94" s="8"/>
      <c r="G94" s="8"/>
      <c r="H94" s="8"/>
      <c r="I94" s="11">
        <f>ROUND((E94/100)*ROUND((Source!CT55/IF(Source!BA55&lt;&gt;0,Source!BA55,1)*Source!I55),2),2)</f>
        <v>183.25</v>
      </c>
      <c r="J94" s="8">
        <f>Source!AT55</f>
        <v>96</v>
      </c>
      <c r="K94" s="11">
        <f>Source!X55</f>
        <v>2056.05</v>
      </c>
    </row>
    <row r="95" spans="1:11" ht="12.75">
      <c r="A95" s="8"/>
      <c r="B95" s="8"/>
      <c r="C95" s="8" t="s">
        <v>649</v>
      </c>
      <c r="D95" s="8" t="s">
        <v>648</v>
      </c>
      <c r="E95" s="8">
        <f>Source!DO55</f>
        <v>70</v>
      </c>
      <c r="F95" s="8"/>
      <c r="G95" s="8"/>
      <c r="H95" s="8"/>
      <c r="I95" s="11">
        <f>ROUND((E95/100)*ROUND((Source!CT55/IF(Source!BA55&lt;&gt;0,Source!BA55,1)*Source!I55),2),2)</f>
        <v>114.53</v>
      </c>
      <c r="J95" s="8">
        <f>Source!AU55</f>
        <v>42</v>
      </c>
      <c r="K95" s="11">
        <f>Source!Y55</f>
        <v>899.52</v>
      </c>
    </row>
    <row r="96" spans="1:11" ht="12.75">
      <c r="A96" s="8"/>
      <c r="B96" s="8"/>
      <c r="C96" s="8" t="s">
        <v>650</v>
      </c>
      <c r="D96" s="8" t="s">
        <v>648</v>
      </c>
      <c r="E96" s="8">
        <v>175</v>
      </c>
      <c r="F96" s="8"/>
      <c r="G96" s="8"/>
      <c r="H96" s="8"/>
      <c r="I96" s="11">
        <f>ROUND(ROUND((Source!CS55/IF(Source!BS55&lt;&gt;0,Source!BS55,1)*Source!I55),2)*1.75,2)</f>
        <v>227.36</v>
      </c>
      <c r="J96" s="8">
        <v>167</v>
      </c>
      <c r="K96" s="11">
        <f>ROUND(Source!R55*J96/100,2)</f>
        <v>2840.05</v>
      </c>
    </row>
    <row r="97" spans="1:11" ht="12.75">
      <c r="A97" s="30"/>
      <c r="B97" s="30"/>
      <c r="C97" s="30" t="s">
        <v>651</v>
      </c>
      <c r="D97" s="30" t="s">
        <v>652</v>
      </c>
      <c r="E97" s="30">
        <f>Source!AQ55</f>
        <v>2.94</v>
      </c>
      <c r="F97" s="30"/>
      <c r="G97" s="31">
        <f>Source!DI55</f>
      </c>
      <c r="H97" s="30">
        <f>Source!AV55</f>
        <v>1.087</v>
      </c>
      <c r="I97" s="32">
        <f>ROUND(Source!U55,2)</f>
        <v>12.78</v>
      </c>
      <c r="J97" s="30"/>
      <c r="K97" s="30"/>
    </row>
    <row r="98" spans="9:24" ht="12.75">
      <c r="I98" s="33">
        <f>ROUND((Source!CT55/IF(Source!BA55&lt;&gt;0,Source!BA55,1)*Source!I55),2)+ROUND((Source!CR55/IF(Source!BB55&lt;&gt;0,Source!BB55,1)*Source!I55),2)+ROUND((Source!CQ55/IF(Source!BC55&lt;&gt;0,Source!BC55,1)*Source!I55),2)+SUM(I94:I96)</f>
        <v>1366.67</v>
      </c>
      <c r="J98" s="34"/>
      <c r="K98" s="33"/>
      <c r="L98">
        <f>ROUND((Source!CT55/IF(Source!BA55&lt;&gt;0,Source!BA55,1)*Source!I55),2)</f>
        <v>163.62</v>
      </c>
      <c r="M98" s="12">
        <f>I98</f>
        <v>1366.67</v>
      </c>
      <c r="N98" s="12">
        <f>K98</f>
        <v>0</v>
      </c>
      <c r="O98">
        <f>ROUND(IF(Source!BI55=1,(ROUND((Source!CT55/IF(Source!BA55&lt;&gt;0,Source!BA55,1)*Source!I55),2)+ROUND((Source!CR55/IF(Source!BB55&lt;&gt;0,Source!BB55,1)*Source!I55),2)+ROUND((Source!CQ55/IF(Source!BC55&lt;&gt;0,Source!BC55,1)*Source!I55),2)+((Source!DN55/100)*ROUND((Source!CT55/IF(Source!BA55&lt;&gt;0,Source!BA55,1)*Source!I55),2))+((Source!DO55/100)*ROUND((Source!CT55/IF(Source!BA55&lt;&gt;0,Source!BA55,1)*Source!I55),2))+(ROUND((Source!CS55/IF(Source!BS55&lt;&gt;0,Source!BS55,1)*Source!I55),2)*1.75)),0),2)</f>
        <v>0</v>
      </c>
      <c r="P98">
        <f>ROUND(IF(Source!BI55=2,(ROUND((Source!CT55/IF(Source!BA55&lt;&gt;0,Source!BA55,1)*Source!I55),2)+ROUND((Source!CR55/IF(Source!BB55&lt;&gt;0,Source!BB55,1)*Source!I55),2)+ROUND((Source!CQ55/IF(Source!BC55&lt;&gt;0,Source!BC55,1)*Source!I55),2)+((Source!DN55/100)*ROUND((Source!CT55/IF(Source!BA55&lt;&gt;0,Source!BA55,1)*Source!I55),2))+((Source!DO55/100)*ROUND((Source!CT55/IF(Source!BA55&lt;&gt;0,Source!BA55,1)*Source!I55),2))+(ROUND((Source!CS55/IF(Source!BS55&lt;&gt;0,Source!BS55,1)*Source!I55),2)*1.75)),0),2)</f>
        <v>1366.68</v>
      </c>
      <c r="Q98">
        <f>ROUND(IF(Source!BI55=3,(ROUND((Source!CT55/IF(Source!BA55&lt;&gt;0,Source!BA55,1)*Source!I55),2)+ROUND((Source!CR55/IF(Source!BB55&lt;&gt;0,Source!BB55,1)*Source!I55),2)+ROUND((Source!CQ55/IF(Source!BC55&lt;&gt;0,Source!BC55,1)*Source!I55),2)+((Source!DN55/100)*ROUND((Source!CT55/IF(Source!BA55&lt;&gt;0,Source!BA55,1)*Source!I55),2))+((Source!DO55/100)*ROUND((Source!CT55/IF(Source!BA55&lt;&gt;0,Source!BA55,1)*Source!I55),2))+(ROUND((Source!CS55/IF(Source!BS55&lt;&gt;0,Source!BS55,1)*Source!I55),2)*1.75)),0),2)</f>
        <v>0</v>
      </c>
      <c r="R98">
        <f>ROUND(IF(Source!BI55=4,(ROUND((Source!CT55/IF(Source!BA55&lt;&gt;0,Source!BA55,1)*Source!I55),2)+ROUND((Source!CR55/IF(Source!BB55&lt;&gt;0,Source!BB55,1)*Source!I55),2)+ROUND((Source!CQ55/IF(Source!BC55&lt;&gt;0,Source!BC55,1)*Source!I55),2)+((Source!DN55/100)*ROUND((Source!CT55/IF(Source!BA55&lt;&gt;0,Source!BA55,1)*Source!I55),2))+((Source!DO55/100)*ROUND((Source!CT55/IF(Source!BA55&lt;&gt;0,Source!BA55,1)*Source!I55),2))+(ROUND((Source!CS55/IF(Source!BS55&lt;&gt;0,Source!BS55,1)*Source!I55),2)*1.75)),0),2)</f>
        <v>0</v>
      </c>
      <c r="U98">
        <f>IF(Source!BI55=1,Source!O55+Source!X55+Source!Y55+Source!R55*167/100,0)</f>
        <v>0</v>
      </c>
      <c r="V98">
        <f>IF(Source!BI55=2,Source!O55+Source!X55+Source!Y55+Source!R55*167/100,0)</f>
        <v>11323.3521</v>
      </c>
      <c r="W98">
        <f>IF(Source!BI55=3,Source!O55+Source!X55+Source!Y55+Source!R55*167/100,0)</f>
        <v>0</v>
      </c>
      <c r="X98">
        <f>IF(Source!BI55=4,Source!O55+Source!X55+Source!Y55+Source!R55*167/100,0)</f>
        <v>0</v>
      </c>
    </row>
    <row r="99" spans="1:25" ht="72">
      <c r="A99" s="26" t="str">
        <f>Source!E56</f>
        <v>8</v>
      </c>
      <c r="B99" s="26" t="str">
        <f>Source!F56</f>
        <v>4.8-235-2</v>
      </c>
      <c r="C99" s="9" t="str">
        <f>Source!G56</f>
        <v>СВЕТОВЫЕ СИГНАЛЬНЫЕ ПРИБОРЫ, СВЕТОФОР С КОЛИЧЕСТВОМ ЛАМП ДО 3, УСТАНАВЛИВАЕМЫЙ НА КОНСТРУКЦИИ НА СТЕНЕ, КОЛОННЕ ИЛИ БАЛКЕ</v>
      </c>
      <c r="D99" s="27" t="str">
        <f>Source!H56</f>
        <v>шт.</v>
      </c>
      <c r="E99" s="8">
        <f>ROUND(Source!I56,6)</f>
        <v>4</v>
      </c>
      <c r="F99" s="8"/>
      <c r="G99" s="8"/>
      <c r="H99" s="8"/>
      <c r="I99" s="8"/>
      <c r="J99" s="8"/>
      <c r="K99" s="8"/>
      <c r="Y99">
        <v>8</v>
      </c>
    </row>
    <row r="100" spans="1:11" ht="12.75">
      <c r="A100" s="8"/>
      <c r="B100" s="8"/>
      <c r="C100" s="8" t="s">
        <v>644</v>
      </c>
      <c r="D100" s="8"/>
      <c r="E100" s="8"/>
      <c r="F100" s="11">
        <f>Source!AO56</f>
        <v>25.65</v>
      </c>
      <c r="G100" s="28">
        <f>Source!DG56</f>
      </c>
      <c r="H100" s="8">
        <f>Source!AV56</f>
        <v>1.047</v>
      </c>
      <c r="I100" s="11">
        <f>ROUND((Source!CT56/IF(Source!BA56&lt;&gt;0,Source!BA56,1)*Source!I56),2)</f>
        <v>107.42</v>
      </c>
      <c r="J100" s="8">
        <f>Source!BA56</f>
        <v>13.09</v>
      </c>
      <c r="K100" s="11"/>
    </row>
    <row r="101" spans="1:11" ht="12.75">
      <c r="A101" s="8"/>
      <c r="B101" s="8"/>
      <c r="C101" s="8" t="s">
        <v>645</v>
      </c>
      <c r="D101" s="8"/>
      <c r="E101" s="8"/>
      <c r="F101" s="11">
        <f>Source!AM56</f>
        <v>15.96</v>
      </c>
      <c r="G101" s="28">
        <f>Source!DE56</f>
      </c>
      <c r="H101" s="8">
        <f>Source!AV56</f>
        <v>1.047</v>
      </c>
      <c r="I101" s="11">
        <f>ROUND((Source!CR56/IF(Source!BB56&lt;&gt;0,Source!BB56,1)*Source!I56),2)</f>
        <v>66.84</v>
      </c>
      <c r="J101" s="8">
        <f>Source!BB56</f>
        <v>5.18</v>
      </c>
      <c r="K101" s="11"/>
    </row>
    <row r="102" spans="1:12" ht="12.75">
      <c r="A102" s="8"/>
      <c r="B102" s="8"/>
      <c r="C102" s="8" t="s">
        <v>646</v>
      </c>
      <c r="D102" s="8"/>
      <c r="E102" s="8"/>
      <c r="F102" s="11">
        <f>Source!AN56</f>
        <v>1.04</v>
      </c>
      <c r="G102" s="28">
        <f>Source!DF56</f>
      </c>
      <c r="H102" s="8">
        <f>Source!AV56</f>
        <v>1.047</v>
      </c>
      <c r="I102" s="29" t="str">
        <f>CONCATENATE("(",TEXT(+ROUND((Source!CS56/IF(J102&lt;&gt;0,J102,1)*Source!I56),2),"0,00"),")")</f>
        <v>(4,36)</v>
      </c>
      <c r="J102" s="8">
        <f>Source!BS56</f>
        <v>13.09</v>
      </c>
      <c r="K102" s="29"/>
      <c r="L102">
        <f>ROUND(IF(J102&lt;&gt;0,Source!R56/J102,Source!R56),2)</f>
        <v>4.36</v>
      </c>
    </row>
    <row r="103" spans="1:11" ht="12.75">
      <c r="A103" s="8"/>
      <c r="B103" s="8"/>
      <c r="C103" s="8" t="s">
        <v>655</v>
      </c>
      <c r="D103" s="8"/>
      <c r="E103" s="8"/>
      <c r="F103" s="11">
        <f>Source!AL56</f>
        <v>17.29</v>
      </c>
      <c r="G103" s="8">
        <f>Source!DD56</f>
      </c>
      <c r="H103" s="8">
        <f>Source!AW56</f>
        <v>1</v>
      </c>
      <c r="I103" s="11">
        <f>ROUND((Source!CQ56/IF(Source!BC56&lt;&gt;0,Source!BC56,1)*Source!I56),2)</f>
        <v>69.16</v>
      </c>
      <c r="J103" s="8">
        <f>Source!BC56</f>
        <v>4.56</v>
      </c>
      <c r="K103" s="11"/>
    </row>
    <row r="104" spans="1:11" ht="12.75">
      <c r="A104" s="8"/>
      <c r="B104" s="8"/>
      <c r="C104" s="8" t="s">
        <v>647</v>
      </c>
      <c r="D104" s="8" t="s">
        <v>648</v>
      </c>
      <c r="E104" s="8">
        <f>Source!DN56</f>
        <v>112</v>
      </c>
      <c r="F104" s="8"/>
      <c r="G104" s="8"/>
      <c r="H104" s="8"/>
      <c r="I104" s="11">
        <f>ROUND((E104/100)*ROUND((Source!CT56/IF(Source!BA56&lt;&gt;0,Source!BA56,1)*Source!I56),2),2)</f>
        <v>120.31</v>
      </c>
      <c r="J104" s="8">
        <f>Source!AT56</f>
        <v>96</v>
      </c>
      <c r="K104" s="11"/>
    </row>
    <row r="105" spans="1:11" ht="12.75">
      <c r="A105" s="8"/>
      <c r="B105" s="8"/>
      <c r="C105" s="8" t="s">
        <v>649</v>
      </c>
      <c r="D105" s="8" t="s">
        <v>648</v>
      </c>
      <c r="E105" s="8">
        <f>Source!DO56</f>
        <v>70</v>
      </c>
      <c r="F105" s="8"/>
      <c r="G105" s="8"/>
      <c r="H105" s="8"/>
      <c r="I105" s="11">
        <f>ROUND((E105/100)*ROUND((Source!CT56/IF(Source!BA56&lt;&gt;0,Source!BA56,1)*Source!I56),2),2)</f>
        <v>75.19</v>
      </c>
      <c r="J105" s="8">
        <f>Source!AU56</f>
        <v>42</v>
      </c>
      <c r="K105" s="11"/>
    </row>
    <row r="106" spans="1:11" ht="12.75">
      <c r="A106" s="8"/>
      <c r="B106" s="8"/>
      <c r="C106" s="8" t="s">
        <v>650</v>
      </c>
      <c r="D106" s="8" t="s">
        <v>648</v>
      </c>
      <c r="E106" s="8">
        <v>175</v>
      </c>
      <c r="F106" s="8"/>
      <c r="G106" s="8"/>
      <c r="H106" s="8"/>
      <c r="I106" s="11">
        <f>ROUND(ROUND((Source!CS56/IF(Source!BS56&lt;&gt;0,Source!BS56,1)*Source!I56),2)*1.75,2)</f>
        <v>7.63</v>
      </c>
      <c r="J106" s="8">
        <v>167</v>
      </c>
      <c r="K106" s="11"/>
    </row>
    <row r="107" spans="1:11" ht="12.75">
      <c r="A107" s="30"/>
      <c r="B107" s="30"/>
      <c r="C107" s="30" t="s">
        <v>651</v>
      </c>
      <c r="D107" s="30" t="s">
        <v>652</v>
      </c>
      <c r="E107" s="30">
        <f>Source!AQ56</f>
        <v>2.08</v>
      </c>
      <c r="F107" s="30"/>
      <c r="G107" s="31">
        <f>Source!DI56</f>
      </c>
      <c r="H107" s="30">
        <f>Source!AV56</f>
        <v>1.047</v>
      </c>
      <c r="I107" s="32">
        <f>ROUND(Source!U56,2)</f>
        <v>8.71</v>
      </c>
      <c r="J107" s="30"/>
      <c r="K107" s="30"/>
    </row>
    <row r="108" spans="9:24" ht="12.75">
      <c r="I108" s="33">
        <f>ROUND((Source!CT56/IF(Source!BA56&lt;&gt;0,Source!BA56,1)*Source!I56),2)+ROUND((Source!CR56/IF(Source!BB56&lt;&gt;0,Source!BB56,1)*Source!I56),2)+ROUND((Source!CQ56/IF(Source!BC56&lt;&gt;0,Source!BC56,1)*Source!I56),2)+SUM(I104:I106)</f>
        <v>446.54999999999995</v>
      </c>
      <c r="J108" s="34"/>
      <c r="K108" s="33"/>
      <c r="L108">
        <f>ROUND((Source!CT56/IF(Source!BA56&lt;&gt;0,Source!BA56,1)*Source!I56),2)</f>
        <v>107.42</v>
      </c>
      <c r="M108" s="12">
        <f>I108</f>
        <v>446.54999999999995</v>
      </c>
      <c r="N108" s="12">
        <f>K108</f>
        <v>0</v>
      </c>
      <c r="O108">
        <f>ROUND(IF(Source!BI56=1,(ROUND((Source!CT56/IF(Source!BA56&lt;&gt;0,Source!BA56,1)*Source!I56),2)+ROUND((Source!CR56/IF(Source!BB56&lt;&gt;0,Source!BB56,1)*Source!I56),2)+ROUND((Source!CQ56/IF(Source!BC56&lt;&gt;0,Source!BC56,1)*Source!I56),2)+((Source!DN56/100)*ROUND((Source!CT56/IF(Source!BA56&lt;&gt;0,Source!BA56,1)*Source!I56),2))+((Source!DO56/100)*ROUND((Source!CT56/IF(Source!BA56&lt;&gt;0,Source!BA56,1)*Source!I56),2))+(ROUND((Source!CS56/IF(Source!BS56&lt;&gt;0,Source!BS56,1)*Source!I56),2)*1.75)),0),2)</f>
        <v>0</v>
      </c>
      <c r="P108">
        <f>ROUND(IF(Source!BI56=2,(ROUND((Source!CT56/IF(Source!BA56&lt;&gt;0,Source!BA56,1)*Source!I56),2)+ROUND((Source!CR56/IF(Source!BB56&lt;&gt;0,Source!BB56,1)*Source!I56),2)+ROUND((Source!CQ56/IF(Source!BC56&lt;&gt;0,Source!BC56,1)*Source!I56),2)+((Source!DN56/100)*ROUND((Source!CT56/IF(Source!BA56&lt;&gt;0,Source!BA56,1)*Source!I56),2))+((Source!DO56/100)*ROUND((Source!CT56/IF(Source!BA56&lt;&gt;0,Source!BA56,1)*Source!I56),2))+(ROUND((Source!CS56/IF(Source!BS56&lt;&gt;0,Source!BS56,1)*Source!I56),2)*1.75)),0),2)</f>
        <v>446.55</v>
      </c>
      <c r="Q108">
        <f>ROUND(IF(Source!BI56=3,(ROUND((Source!CT56/IF(Source!BA56&lt;&gt;0,Source!BA56,1)*Source!I56),2)+ROUND((Source!CR56/IF(Source!BB56&lt;&gt;0,Source!BB56,1)*Source!I56),2)+ROUND((Source!CQ56/IF(Source!BC56&lt;&gt;0,Source!BC56,1)*Source!I56),2)+((Source!DN56/100)*ROUND((Source!CT56/IF(Source!BA56&lt;&gt;0,Source!BA56,1)*Source!I56),2))+((Source!DO56/100)*ROUND((Source!CT56/IF(Source!BA56&lt;&gt;0,Source!BA56,1)*Source!I56),2))+(ROUND((Source!CS56/IF(Source!BS56&lt;&gt;0,Source!BS56,1)*Source!I56),2)*1.75)),0),2)</f>
        <v>0</v>
      </c>
      <c r="R108">
        <f>ROUND(IF(Source!BI56=4,(ROUND((Source!CT56/IF(Source!BA56&lt;&gt;0,Source!BA56,1)*Source!I56),2)+ROUND((Source!CR56/IF(Source!BB56&lt;&gt;0,Source!BB56,1)*Source!I56),2)+ROUND((Source!CQ56/IF(Source!BC56&lt;&gt;0,Source!BC56,1)*Source!I56),2)+((Source!DN56/100)*ROUND((Source!CT56/IF(Source!BA56&lt;&gt;0,Source!BA56,1)*Source!I56),2))+((Source!DO56/100)*ROUND((Source!CT56/IF(Source!BA56&lt;&gt;0,Source!BA56,1)*Source!I56),2))+(ROUND((Source!CS56/IF(Source!BS56&lt;&gt;0,Source!BS56,1)*Source!I56),2)*1.75)),0),2)</f>
        <v>0</v>
      </c>
      <c r="U108">
        <f>IF(Source!BI56=1,Source!O56+Source!X56+Source!Y56+Source!R56*167/100,0)</f>
        <v>0</v>
      </c>
      <c r="V108">
        <f>IF(Source!BI56=2,Source!O56+Source!X56+Source!Y56+Source!R56*167/100,0)</f>
        <v>4103.4667</v>
      </c>
      <c r="W108">
        <f>IF(Source!BI56=3,Source!O56+Source!X56+Source!Y56+Source!R56*167/100,0)</f>
        <v>0</v>
      </c>
      <c r="X108">
        <f>IF(Source!BI56=4,Source!O56+Source!X56+Source!Y56+Source!R56*167/100,0)</f>
        <v>0</v>
      </c>
    </row>
    <row r="109" spans="1:25" ht="48">
      <c r="A109" s="26" t="str">
        <f>Source!E57</f>
        <v>9</v>
      </c>
      <c r="B109" s="26" t="str">
        <f>Source!F57</f>
        <v>4.11-1-3</v>
      </c>
      <c r="C109" s="9" t="str">
        <f>Source!G57</f>
        <v>КОНСТРУКЦИИ ДЛЯ УСТАНОВКИ ПРИБОРОВ И СРЕДСТВ АВТОМАТИЗАЦИИ МАССОЙ: ДО 3 КГ</v>
      </c>
      <c r="D109" s="27" t="str">
        <f>Source!H57</f>
        <v>шт.</v>
      </c>
      <c r="E109" s="8">
        <f>ROUND(Source!I57,6)</f>
        <v>2</v>
      </c>
      <c r="F109" s="8"/>
      <c r="G109" s="8"/>
      <c r="H109" s="8"/>
      <c r="I109" s="8"/>
      <c r="J109" s="8"/>
      <c r="K109" s="8"/>
      <c r="Y109">
        <v>9</v>
      </c>
    </row>
    <row r="110" spans="1:11" ht="12.75">
      <c r="A110" s="8"/>
      <c r="B110" s="8"/>
      <c r="C110" s="8" t="s">
        <v>644</v>
      </c>
      <c r="D110" s="8"/>
      <c r="E110" s="8"/>
      <c r="F110" s="11">
        <f>Source!AO57</f>
        <v>11.81</v>
      </c>
      <c r="G110" s="28">
        <f>Source!DG57</f>
      </c>
      <c r="H110" s="8">
        <f>Source!AV57</f>
        <v>1.047</v>
      </c>
      <c r="I110" s="11">
        <f>ROUND((Source!CT57/IF(Source!BA57&lt;&gt;0,Source!BA57,1)*Source!I57),2)</f>
        <v>24.73</v>
      </c>
      <c r="J110" s="8">
        <f>Source!BA57</f>
        <v>13.09</v>
      </c>
      <c r="K110" s="11"/>
    </row>
    <row r="111" spans="1:11" ht="12.75">
      <c r="A111" s="8"/>
      <c r="B111" s="8"/>
      <c r="C111" s="8" t="s">
        <v>645</v>
      </c>
      <c r="D111" s="8"/>
      <c r="E111" s="8"/>
      <c r="F111" s="11">
        <f>Source!AM57</f>
        <v>5.82</v>
      </c>
      <c r="G111" s="28">
        <f>Source!DE57</f>
      </c>
      <c r="H111" s="8">
        <f>Source!AV57</f>
        <v>1.047</v>
      </c>
      <c r="I111" s="11">
        <f>ROUND((Source!CR57/IF(Source!BB57&lt;&gt;0,Source!BB57,1)*Source!I57),2)</f>
        <v>12.19</v>
      </c>
      <c r="J111" s="8">
        <f>Source!BB57</f>
        <v>7.41</v>
      </c>
      <c r="K111" s="11"/>
    </row>
    <row r="112" spans="1:12" ht="12.75">
      <c r="A112" s="8"/>
      <c r="B112" s="8"/>
      <c r="C112" s="8" t="s">
        <v>646</v>
      </c>
      <c r="D112" s="8"/>
      <c r="E112" s="8"/>
      <c r="F112" s="11">
        <f>Source!AN57</f>
        <v>1.29</v>
      </c>
      <c r="G112" s="28">
        <f>Source!DF57</f>
      </c>
      <c r="H112" s="8">
        <f>Source!AV57</f>
        <v>1.047</v>
      </c>
      <c r="I112" s="29" t="str">
        <f>CONCATENATE("(",TEXT(+ROUND((Source!CS57/IF(J112&lt;&gt;0,J112,1)*Source!I57),2),"0,00"),")")</f>
        <v>(2,70)</v>
      </c>
      <c r="J112" s="8">
        <f>Source!BS57</f>
        <v>13.09</v>
      </c>
      <c r="K112" s="29"/>
      <c r="L112">
        <f>ROUND(IF(J112&lt;&gt;0,Source!R57/J112,Source!R57),2)</f>
        <v>2.7</v>
      </c>
    </row>
    <row r="113" spans="1:11" ht="12.75">
      <c r="A113" s="8"/>
      <c r="B113" s="8"/>
      <c r="C113" s="8" t="s">
        <v>655</v>
      </c>
      <c r="D113" s="8"/>
      <c r="E113" s="8"/>
      <c r="F113" s="11">
        <f>Source!AL57</f>
        <v>8.75</v>
      </c>
      <c r="G113" s="8">
        <f>Source!DD57</f>
      </c>
      <c r="H113" s="8">
        <f>Source!AW57</f>
        <v>1</v>
      </c>
      <c r="I113" s="11">
        <f>ROUND((Source!CQ57/IF(Source!BC57&lt;&gt;0,Source!BC57,1)*Source!I57),2)</f>
        <v>17.5</v>
      </c>
      <c r="J113" s="8">
        <f>Source!BC57</f>
        <v>4.56</v>
      </c>
      <c r="K113" s="11"/>
    </row>
    <row r="114" spans="1:11" ht="12.75">
      <c r="A114" s="8"/>
      <c r="B114" s="8"/>
      <c r="C114" s="8" t="s">
        <v>647</v>
      </c>
      <c r="D114" s="8" t="s">
        <v>648</v>
      </c>
      <c r="E114" s="8">
        <f>Source!DN57</f>
        <v>112</v>
      </c>
      <c r="F114" s="8"/>
      <c r="G114" s="8"/>
      <c r="H114" s="8"/>
      <c r="I114" s="11">
        <f>ROUND((E114/100)*ROUND((Source!CT57/IF(Source!BA57&lt;&gt;0,Source!BA57,1)*Source!I57),2),2)</f>
        <v>27.7</v>
      </c>
      <c r="J114" s="8">
        <f>Source!AT57</f>
        <v>96</v>
      </c>
      <c r="K114" s="11"/>
    </row>
    <row r="115" spans="1:11" ht="12.75">
      <c r="A115" s="8"/>
      <c r="B115" s="8"/>
      <c r="C115" s="8" t="s">
        <v>649</v>
      </c>
      <c r="D115" s="8" t="s">
        <v>648</v>
      </c>
      <c r="E115" s="8">
        <f>Source!DO57</f>
        <v>70</v>
      </c>
      <c r="F115" s="8"/>
      <c r="G115" s="8"/>
      <c r="H115" s="8"/>
      <c r="I115" s="11">
        <f>ROUND((E115/100)*ROUND((Source!CT57/IF(Source!BA57&lt;&gt;0,Source!BA57,1)*Source!I57),2),2)</f>
        <v>17.31</v>
      </c>
      <c r="J115" s="8">
        <f>Source!AU57</f>
        <v>42</v>
      </c>
      <c r="K115" s="11"/>
    </row>
    <row r="116" spans="1:11" ht="12.75">
      <c r="A116" s="8"/>
      <c r="B116" s="8"/>
      <c r="C116" s="8" t="s">
        <v>650</v>
      </c>
      <c r="D116" s="8" t="s">
        <v>648</v>
      </c>
      <c r="E116" s="8">
        <v>175</v>
      </c>
      <c r="F116" s="8"/>
      <c r="G116" s="8"/>
      <c r="H116" s="8"/>
      <c r="I116" s="11">
        <f>ROUND(ROUND((Source!CS57/IF(Source!BS57&lt;&gt;0,Source!BS57,1)*Source!I57),2)*1.75,2)</f>
        <v>4.73</v>
      </c>
      <c r="J116" s="8">
        <v>167</v>
      </c>
      <c r="K116" s="11"/>
    </row>
    <row r="117" spans="1:11" ht="12.75">
      <c r="A117" s="30"/>
      <c r="B117" s="30"/>
      <c r="C117" s="30" t="s">
        <v>651</v>
      </c>
      <c r="D117" s="30" t="s">
        <v>652</v>
      </c>
      <c r="E117" s="30">
        <f>Source!AQ57</f>
        <v>1.03</v>
      </c>
      <c r="F117" s="30"/>
      <c r="G117" s="31">
        <f>Source!DI57</f>
      </c>
      <c r="H117" s="30">
        <f>Source!AV57</f>
        <v>1.047</v>
      </c>
      <c r="I117" s="32">
        <f>ROUND(Source!U57,2)</f>
        <v>2.16</v>
      </c>
      <c r="J117" s="30"/>
      <c r="K117" s="30"/>
    </row>
    <row r="118" spans="9:24" ht="12.75">
      <c r="I118" s="33">
        <f>ROUND((Source!CT57/IF(Source!BA57&lt;&gt;0,Source!BA57,1)*Source!I57),2)+ROUND((Source!CR57/IF(Source!BB57&lt;&gt;0,Source!BB57,1)*Source!I57),2)+ROUND((Source!CQ57/IF(Source!BC57&lt;&gt;0,Source!BC57,1)*Source!I57),2)+SUM(I114:I116)</f>
        <v>104.16</v>
      </c>
      <c r="J118" s="34"/>
      <c r="K118" s="33"/>
      <c r="L118">
        <f>ROUND((Source!CT57/IF(Source!BA57&lt;&gt;0,Source!BA57,1)*Source!I57),2)</f>
        <v>24.73</v>
      </c>
      <c r="M118" s="12">
        <f>I118</f>
        <v>104.16</v>
      </c>
      <c r="N118" s="12">
        <f>K118</f>
        <v>0</v>
      </c>
      <c r="O118">
        <f>ROUND(IF(Source!BI57=1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P118">
        <f>ROUND(IF(Source!BI57=2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104.15</v>
      </c>
      <c r="Q118">
        <f>ROUND(IF(Source!BI57=3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R118">
        <f>ROUND(IF(Source!BI57=4,(ROUND((Source!CT57/IF(Source!BA57&lt;&gt;0,Source!BA57,1)*Source!I57),2)+ROUND((Source!CR57/IF(Source!BB57&lt;&gt;0,Source!BB57,1)*Source!I57),2)+ROUND((Source!CQ57/IF(Source!BC57&lt;&gt;0,Source!BC57,1)*Source!I57),2)+((Source!DN57/100)*ROUND((Source!CT57/IF(Source!BA57&lt;&gt;0,Source!BA57,1)*Source!I57),2))+((Source!DO57/100)*ROUND((Source!CT57/IF(Source!BA57&lt;&gt;0,Source!BA57,1)*Source!I57),2))+(ROUND((Source!CS57/IF(Source!BS57&lt;&gt;0,Source!BS57,1)*Source!I57),2)*1.75)),0),2)</f>
        <v>0</v>
      </c>
      <c r="U118">
        <f>IF(Source!BI57=1,Source!O57+Source!X57+Source!Y57+Source!R57*167/100,0)</f>
        <v>0</v>
      </c>
      <c r="V118">
        <f>IF(Source!BI57=2,Source!O57+Source!X57+Source!Y57+Source!R57*167/100,0)</f>
        <v>999.6111999999999</v>
      </c>
      <c r="W118">
        <f>IF(Source!BI57=3,Source!O57+Source!X57+Source!Y57+Source!R57*167/100,0)</f>
        <v>0</v>
      </c>
      <c r="X118">
        <f>IF(Source!BI57=4,Source!O57+Source!X57+Source!Y57+Source!R57*167/100,0)</f>
        <v>0</v>
      </c>
    </row>
    <row r="119" spans="1:25" ht="36">
      <c r="A119" s="26" t="str">
        <f>Source!E58</f>
        <v>10</v>
      </c>
      <c r="B119" s="26" t="str">
        <f>Source!F58</f>
        <v>4.10-70-22</v>
      </c>
      <c r="C119" s="9" t="str">
        <f>Source!G58</f>
        <v>АППАРАТУРА ЦВЕТНОГО ТЕЛЕВИДЕНИЯ: КАМЕРА ТЕЛЕВИЗИОННАЯ ПЕРЕДАЮЩАЯ</v>
      </c>
      <c r="D119" s="27" t="str">
        <f>Source!H58</f>
        <v>шт.</v>
      </c>
      <c r="E119" s="8">
        <f>ROUND(Source!I58,6)</f>
        <v>1</v>
      </c>
      <c r="F119" s="8"/>
      <c r="G119" s="8"/>
      <c r="H119" s="8"/>
      <c r="I119" s="8"/>
      <c r="J119" s="8"/>
      <c r="K119" s="8"/>
      <c r="Y119">
        <v>10</v>
      </c>
    </row>
    <row r="120" spans="1:11" ht="12.75">
      <c r="A120" s="8"/>
      <c r="B120" s="8"/>
      <c r="C120" s="8" t="s">
        <v>644</v>
      </c>
      <c r="D120" s="8"/>
      <c r="E120" s="8"/>
      <c r="F120" s="11">
        <f>Source!AO58</f>
        <v>290.8</v>
      </c>
      <c r="G120" s="28">
        <f>Source!DG58</f>
      </c>
      <c r="H120" s="8">
        <f>Source!AV58</f>
        <v>1.047</v>
      </c>
      <c r="I120" s="11">
        <f>ROUND((Source!CT58/IF(Source!BA58&lt;&gt;0,Source!BA58,1)*Source!I58),2)</f>
        <v>304.47</v>
      </c>
      <c r="J120" s="8">
        <f>Source!BA58</f>
        <v>13.09</v>
      </c>
      <c r="K120" s="11"/>
    </row>
    <row r="121" spans="1:11" ht="12.75">
      <c r="A121" s="8"/>
      <c r="B121" s="8"/>
      <c r="C121" s="8" t="s">
        <v>645</v>
      </c>
      <c r="D121" s="8"/>
      <c r="E121" s="8"/>
      <c r="F121" s="11">
        <f>Source!AM58</f>
        <v>2.19</v>
      </c>
      <c r="G121" s="28">
        <f>Source!DE58</f>
      </c>
      <c r="H121" s="8">
        <f>Source!AV58</f>
        <v>1.047</v>
      </c>
      <c r="I121" s="11">
        <f>ROUND((Source!CR58/IF(Source!BB58&lt;&gt;0,Source!BB58,1)*Source!I58),2)</f>
        <v>2.29</v>
      </c>
      <c r="J121" s="8">
        <f>Source!BB58</f>
        <v>5.59</v>
      </c>
      <c r="K121" s="11"/>
    </row>
    <row r="122" spans="1:12" ht="12.75">
      <c r="A122" s="8"/>
      <c r="B122" s="8"/>
      <c r="C122" s="8" t="s">
        <v>646</v>
      </c>
      <c r="D122" s="8"/>
      <c r="E122" s="8"/>
      <c r="F122" s="11">
        <f>Source!AN58</f>
        <v>0.51</v>
      </c>
      <c r="G122" s="28">
        <f>Source!DF58</f>
      </c>
      <c r="H122" s="8">
        <f>Source!AV58</f>
        <v>1.047</v>
      </c>
      <c r="I122" s="29" t="str">
        <f>CONCATENATE("(",TEXT(+ROUND((Source!CS58/IF(J122&lt;&gt;0,J122,1)*Source!I58),2),"0,00"),")")</f>
        <v>(0,53)</v>
      </c>
      <c r="J122" s="8">
        <f>Source!BS58</f>
        <v>13.09</v>
      </c>
      <c r="K122" s="29"/>
      <c r="L122">
        <f>ROUND(IF(J122&lt;&gt;0,Source!R58/J122,Source!R58),2)</f>
        <v>0.53</v>
      </c>
    </row>
    <row r="123" spans="1:11" ht="12.75">
      <c r="A123" s="8"/>
      <c r="B123" s="8"/>
      <c r="C123" s="8" t="s">
        <v>655</v>
      </c>
      <c r="D123" s="8"/>
      <c r="E123" s="8"/>
      <c r="F123" s="11">
        <f>Source!AL58</f>
        <v>18.48</v>
      </c>
      <c r="G123" s="8">
        <f>Source!DD58</f>
      </c>
      <c r="H123" s="8">
        <f>Source!AW58</f>
        <v>1</v>
      </c>
      <c r="I123" s="11">
        <f>ROUND((Source!CQ58/IF(Source!BC58&lt;&gt;0,Source!BC58,1)*Source!I58),2)</f>
        <v>18.48</v>
      </c>
      <c r="J123" s="8">
        <f>Source!BC58</f>
        <v>4.56</v>
      </c>
      <c r="K123" s="11"/>
    </row>
    <row r="124" spans="1:11" ht="12.75">
      <c r="A124" s="8"/>
      <c r="B124" s="8"/>
      <c r="C124" s="8" t="s">
        <v>647</v>
      </c>
      <c r="D124" s="8" t="s">
        <v>648</v>
      </c>
      <c r="E124" s="8">
        <f>Source!DN58</f>
        <v>112</v>
      </c>
      <c r="F124" s="8"/>
      <c r="G124" s="8"/>
      <c r="H124" s="8"/>
      <c r="I124" s="11">
        <f>ROUND((E124/100)*ROUND((Source!CT58/IF(Source!BA58&lt;&gt;0,Source!BA58,1)*Source!I58),2),2)</f>
        <v>341.01</v>
      </c>
      <c r="J124" s="8">
        <f>Source!AT58</f>
        <v>96</v>
      </c>
      <c r="K124" s="11"/>
    </row>
    <row r="125" spans="1:11" ht="12.75">
      <c r="A125" s="8"/>
      <c r="B125" s="8"/>
      <c r="C125" s="8" t="s">
        <v>649</v>
      </c>
      <c r="D125" s="8" t="s">
        <v>648</v>
      </c>
      <c r="E125" s="8">
        <f>Source!DO58</f>
        <v>70</v>
      </c>
      <c r="F125" s="8"/>
      <c r="G125" s="8"/>
      <c r="H125" s="8"/>
      <c r="I125" s="11">
        <f>ROUND((E125/100)*ROUND((Source!CT58/IF(Source!BA58&lt;&gt;0,Source!BA58,1)*Source!I58),2),2)</f>
        <v>213.13</v>
      </c>
      <c r="J125" s="8">
        <f>Source!AU58</f>
        <v>42</v>
      </c>
      <c r="K125" s="11"/>
    </row>
    <row r="126" spans="1:11" ht="12.75">
      <c r="A126" s="8"/>
      <c r="B126" s="8"/>
      <c r="C126" s="8" t="s">
        <v>650</v>
      </c>
      <c r="D126" s="8" t="s">
        <v>648</v>
      </c>
      <c r="E126" s="8">
        <v>175</v>
      </c>
      <c r="F126" s="8"/>
      <c r="G126" s="8"/>
      <c r="H126" s="8"/>
      <c r="I126" s="11">
        <f>ROUND(ROUND((Source!CS58/IF(Source!BS58&lt;&gt;0,Source!BS58,1)*Source!I58),2)*1.75,2)</f>
        <v>0.93</v>
      </c>
      <c r="J126" s="8">
        <v>167</v>
      </c>
      <c r="K126" s="11"/>
    </row>
    <row r="127" spans="1:11" ht="12.75">
      <c r="A127" s="30"/>
      <c r="B127" s="30"/>
      <c r="C127" s="30" t="s">
        <v>651</v>
      </c>
      <c r="D127" s="30" t="s">
        <v>652</v>
      </c>
      <c r="E127" s="30">
        <f>Source!AQ58</f>
        <v>20</v>
      </c>
      <c r="F127" s="30"/>
      <c r="G127" s="31">
        <f>Source!DI58</f>
      </c>
      <c r="H127" s="30">
        <f>Source!AV58</f>
        <v>1.047</v>
      </c>
      <c r="I127" s="32">
        <f>ROUND(Source!U58,2)</f>
        <v>20.94</v>
      </c>
      <c r="J127" s="30"/>
      <c r="K127" s="30"/>
    </row>
    <row r="128" spans="9:24" ht="12.75">
      <c r="I128" s="33">
        <f>ROUND((Source!CT58/IF(Source!BA58&lt;&gt;0,Source!BA58,1)*Source!I58),2)+ROUND((Source!CR58/IF(Source!BB58&lt;&gt;0,Source!BB58,1)*Source!I58),2)+ROUND((Source!CQ58/IF(Source!BC58&lt;&gt;0,Source!BC58,1)*Source!I58),2)+SUM(I124:I126)</f>
        <v>880.31</v>
      </c>
      <c r="J128" s="34"/>
      <c r="K128" s="33"/>
      <c r="L128">
        <f>ROUND((Source!CT58/IF(Source!BA58&lt;&gt;0,Source!BA58,1)*Source!I58),2)</f>
        <v>304.47</v>
      </c>
      <c r="M128" s="12">
        <f>I128</f>
        <v>880.31</v>
      </c>
      <c r="N128" s="12">
        <f>K128</f>
        <v>0</v>
      </c>
      <c r="O128">
        <f>ROUND(IF(Source!BI58=1,(ROUND((Source!CT58/IF(Source!BA58&lt;&gt;0,Source!BA58,1)*Source!I58),2)+ROUND((Source!CR58/IF(Source!BB58&lt;&gt;0,Source!BB58,1)*Source!I58),2)+ROUND((Source!CQ58/IF(Source!BC58&lt;&gt;0,Source!BC58,1)*Source!I58),2)+((Source!DN58/100)*ROUND((Source!CT58/IF(Source!BA58&lt;&gt;0,Source!BA58,1)*Source!I58),2))+((Source!DO58/100)*ROUND((Source!CT58/IF(Source!BA58&lt;&gt;0,Source!BA58,1)*Source!I58),2))+(ROUND((Source!CS58/IF(Source!BS58&lt;&gt;0,Source!BS58,1)*Source!I58),2)*1.75)),0),2)</f>
        <v>0</v>
      </c>
      <c r="P128">
        <f>ROUND(IF(Source!BI58=2,(ROUND((Source!CT58/IF(Source!BA58&lt;&gt;0,Source!BA58,1)*Source!I58),2)+ROUND((Source!CR58/IF(Source!BB58&lt;&gt;0,Source!BB58,1)*Source!I58),2)+ROUND((Source!CQ58/IF(Source!BC58&lt;&gt;0,Source!BC58,1)*Source!I58),2)+((Source!DN58/100)*ROUND((Source!CT58/IF(Source!BA58&lt;&gt;0,Source!BA58,1)*Source!I58),2))+((Source!DO58/100)*ROUND((Source!CT58/IF(Source!BA58&lt;&gt;0,Source!BA58,1)*Source!I58),2))+(ROUND((Source!CS58/IF(Source!BS58&lt;&gt;0,Source!BS58,1)*Source!I58),2)*1.75)),0),2)</f>
        <v>880.3</v>
      </c>
      <c r="Q128">
        <f>ROUND(IF(Source!BI58=3,(ROUND((Source!CT58/IF(Source!BA58&lt;&gt;0,Source!BA58,1)*Source!I58),2)+ROUND((Source!CR58/IF(Source!BB58&lt;&gt;0,Source!BB58,1)*Source!I58),2)+ROUND((Source!CQ58/IF(Source!BC58&lt;&gt;0,Source!BC58,1)*Source!I58),2)+((Source!DN58/100)*ROUND((Source!CT58/IF(Source!BA58&lt;&gt;0,Source!BA58,1)*Source!I58),2))+((Source!DO58/100)*ROUND((Source!CT58/IF(Source!BA58&lt;&gt;0,Source!BA58,1)*Source!I58),2))+(ROUND((Source!CS58/IF(Source!BS58&lt;&gt;0,Source!BS58,1)*Source!I58),2)*1.75)),0),2)</f>
        <v>0</v>
      </c>
      <c r="R128">
        <f>ROUND(IF(Source!BI58=4,(ROUND((Source!CT58/IF(Source!BA58&lt;&gt;0,Source!BA58,1)*Source!I58),2)+ROUND((Source!CR58/IF(Source!BB58&lt;&gt;0,Source!BB58,1)*Source!I58),2)+ROUND((Source!CQ58/IF(Source!BC58&lt;&gt;0,Source!BC58,1)*Source!I58),2)+((Source!DN58/100)*ROUND((Source!CT58/IF(Source!BA58&lt;&gt;0,Source!BA58,1)*Source!I58),2))+((Source!DO58/100)*ROUND((Source!CT58/IF(Source!BA58&lt;&gt;0,Source!BA58,1)*Source!I58),2))+(ROUND((Source!CS58/IF(Source!BS58&lt;&gt;0,Source!BS58,1)*Source!I58),2)*1.75)),0),2)</f>
        <v>0</v>
      </c>
      <c r="U128">
        <f>IF(Source!BI58=1,Source!O58+Source!X58+Source!Y58+Source!R58*167/100,0)</f>
        <v>0</v>
      </c>
      <c r="V128">
        <f>IF(Source!BI58=2,Source!O58+Source!X58+Source!Y58+Source!R58*167/100,0)</f>
        <v>9594.203300000001</v>
      </c>
      <c r="W128">
        <f>IF(Source!BI58=3,Source!O58+Source!X58+Source!Y58+Source!R58*167/100,0)</f>
        <v>0</v>
      </c>
      <c r="X128">
        <f>IF(Source!BI58=4,Source!O58+Source!X58+Source!Y58+Source!R58*167/100,0)</f>
        <v>0</v>
      </c>
    </row>
    <row r="129" spans="1:25" ht="48">
      <c r="A129" s="26" t="str">
        <f>Source!E59</f>
        <v>11</v>
      </c>
      <c r="B129" s="26" t="str">
        <f>Source!F59</f>
        <v>3.18-8-1</v>
      </c>
      <c r="C129" s="9" t="str">
        <f>Source!G59</f>
        <v>УСТАНОВКА БАКОВ РАСШИРИТЕЛЬНЫХ КРУГЛЫХ И ПРЯМОУГОЛЬНЫХ ВМЕСТИМОСТЬЮ, М3 ДО: 0,1</v>
      </c>
      <c r="D129" s="27" t="str">
        <f>Source!H59</f>
        <v>шт.</v>
      </c>
      <c r="E129" s="8">
        <f>ROUND(Source!I59,6)</f>
        <v>1</v>
      </c>
      <c r="F129" s="8"/>
      <c r="G129" s="8"/>
      <c r="H129" s="8"/>
      <c r="I129" s="8"/>
      <c r="J129" s="8"/>
      <c r="K129" s="8"/>
      <c r="Y129">
        <v>11</v>
      </c>
    </row>
    <row r="130" spans="1:11" ht="12.75">
      <c r="A130" s="8"/>
      <c r="B130" s="8"/>
      <c r="C130" s="8" t="s">
        <v>644</v>
      </c>
      <c r="D130" s="8"/>
      <c r="E130" s="8"/>
      <c r="F130" s="11">
        <f>Source!AO59</f>
        <v>42.14</v>
      </c>
      <c r="G130" s="28">
        <f>Source!DG59</f>
      </c>
      <c r="H130" s="8">
        <f>Source!AV59</f>
        <v>1.067</v>
      </c>
      <c r="I130" s="11">
        <f>ROUND((Source!CT59/IF(Source!BA59&lt;&gt;0,Source!BA59,1)*Source!I59),2)</f>
        <v>44.96</v>
      </c>
      <c r="J130" s="8">
        <f>Source!BA59</f>
        <v>13.09</v>
      </c>
      <c r="K130" s="11"/>
    </row>
    <row r="131" spans="1:11" ht="12.75">
      <c r="A131" s="8"/>
      <c r="B131" s="8"/>
      <c r="C131" s="8" t="s">
        <v>645</v>
      </c>
      <c r="D131" s="8"/>
      <c r="E131" s="8"/>
      <c r="F131" s="11">
        <f>Source!AM59</f>
        <v>7.72</v>
      </c>
      <c r="G131" s="28">
        <f>Source!DE59</f>
      </c>
      <c r="H131" s="8">
        <f>Source!AV59</f>
        <v>1.067</v>
      </c>
      <c r="I131" s="11">
        <f>ROUND((Source!CR59/IF(Source!BB59&lt;&gt;0,Source!BB59,1)*Source!I59),2)</f>
        <v>8.24</v>
      </c>
      <c r="J131" s="8">
        <f>Source!BB59</f>
        <v>7.41</v>
      </c>
      <c r="K131" s="11"/>
    </row>
    <row r="132" spans="1:12" ht="12.75">
      <c r="A132" s="8"/>
      <c r="B132" s="8"/>
      <c r="C132" s="8" t="s">
        <v>646</v>
      </c>
      <c r="D132" s="8"/>
      <c r="E132" s="8"/>
      <c r="F132" s="11">
        <f>Source!AN59</f>
        <v>1.88</v>
      </c>
      <c r="G132" s="28">
        <f>Source!DF59</f>
      </c>
      <c r="H132" s="8">
        <f>Source!AV59</f>
        <v>1.067</v>
      </c>
      <c r="I132" s="29" t="str">
        <f>CONCATENATE("(",TEXT(+ROUND((Source!CS59/IF(J132&lt;&gt;0,J132,1)*Source!I59),2),"0,00"),")")</f>
        <v>(2,01)</v>
      </c>
      <c r="J132" s="8">
        <f>Source!BS59</f>
        <v>13.09</v>
      </c>
      <c r="K132" s="29"/>
      <c r="L132">
        <f>ROUND(IF(J132&lt;&gt;0,Source!R59/J132,Source!R59),2)</f>
        <v>2.01</v>
      </c>
    </row>
    <row r="133" spans="1:11" ht="12.75">
      <c r="A133" s="8"/>
      <c r="B133" s="8"/>
      <c r="C133" s="8" t="s">
        <v>655</v>
      </c>
      <c r="D133" s="8"/>
      <c r="E133" s="8"/>
      <c r="F133" s="11">
        <f>Source!AL59</f>
        <v>2.66</v>
      </c>
      <c r="G133" s="8">
        <f>Source!DD59</f>
      </c>
      <c r="H133" s="8">
        <f>Source!AW59</f>
        <v>1</v>
      </c>
      <c r="I133" s="11">
        <f>ROUND((Source!CQ59/IF(Source!BC59&lt;&gt;0,Source!BC59,1)*Source!I59),2)</f>
        <v>2.66</v>
      </c>
      <c r="J133" s="8">
        <f>Source!BC59</f>
        <v>4.56</v>
      </c>
      <c r="K133" s="11"/>
    </row>
    <row r="134" spans="1:11" ht="12.75">
      <c r="A134" s="8"/>
      <c r="B134" s="8"/>
      <c r="C134" s="8" t="s">
        <v>647</v>
      </c>
      <c r="D134" s="8" t="s">
        <v>648</v>
      </c>
      <c r="E134" s="8">
        <f>Source!DN59</f>
        <v>125</v>
      </c>
      <c r="F134" s="8"/>
      <c r="G134" s="8"/>
      <c r="H134" s="8"/>
      <c r="I134" s="11">
        <f>ROUND((E134/100)*ROUND((Source!CT59/IF(Source!BA59&lt;&gt;0,Source!BA59,1)*Source!I59),2),2)</f>
        <v>56.2</v>
      </c>
      <c r="J134" s="8">
        <f>Source!AT59</f>
        <v>107</v>
      </c>
      <c r="K134" s="11"/>
    </row>
    <row r="135" spans="1:11" ht="12.75">
      <c r="A135" s="8"/>
      <c r="B135" s="8"/>
      <c r="C135" s="8" t="s">
        <v>649</v>
      </c>
      <c r="D135" s="8" t="s">
        <v>648</v>
      </c>
      <c r="E135" s="8">
        <f>Source!DO59</f>
        <v>94</v>
      </c>
      <c r="F135" s="8"/>
      <c r="G135" s="8"/>
      <c r="H135" s="8"/>
      <c r="I135" s="11">
        <f>ROUND((E135/100)*ROUND((Source!CT59/IF(Source!BA59&lt;&gt;0,Source!BA59,1)*Source!I59),2),2)</f>
        <v>42.26</v>
      </c>
      <c r="J135" s="8">
        <f>Source!AU59</f>
        <v>49</v>
      </c>
      <c r="K135" s="11"/>
    </row>
    <row r="136" spans="1:11" ht="12.75">
      <c r="A136" s="8"/>
      <c r="B136" s="8"/>
      <c r="C136" s="8" t="s">
        <v>650</v>
      </c>
      <c r="D136" s="8" t="s">
        <v>648</v>
      </c>
      <c r="E136" s="8">
        <v>175</v>
      </c>
      <c r="F136" s="8"/>
      <c r="G136" s="8"/>
      <c r="H136" s="8"/>
      <c r="I136" s="11">
        <f>ROUND(ROUND((Source!CS59/IF(Source!BS59&lt;&gt;0,Source!BS59,1)*Source!I59),2)*1.75,2)</f>
        <v>3.52</v>
      </c>
      <c r="J136" s="8">
        <v>167</v>
      </c>
      <c r="K136" s="11"/>
    </row>
    <row r="137" spans="1:11" ht="12.75">
      <c r="A137" s="30"/>
      <c r="B137" s="30"/>
      <c r="C137" s="30" t="s">
        <v>651</v>
      </c>
      <c r="D137" s="30" t="s">
        <v>652</v>
      </c>
      <c r="E137" s="30">
        <f>Source!AQ59</f>
        <v>3.63</v>
      </c>
      <c r="F137" s="30"/>
      <c r="G137" s="31">
        <f>Source!DI59</f>
      </c>
      <c r="H137" s="30">
        <f>Source!AV59</f>
        <v>1.067</v>
      </c>
      <c r="I137" s="32">
        <f>ROUND(Source!U59,2)</f>
        <v>3.87</v>
      </c>
      <c r="J137" s="30"/>
      <c r="K137" s="30"/>
    </row>
    <row r="138" spans="9:24" ht="12.75">
      <c r="I138" s="33">
        <f>ROUND((Source!CT59/IF(Source!BA59&lt;&gt;0,Source!BA59,1)*Source!I59),2)+ROUND((Source!CR59/IF(Source!BB59&lt;&gt;0,Source!BB59,1)*Source!I59),2)+ROUND((Source!CQ59/IF(Source!BC59&lt;&gt;0,Source!BC59,1)*Source!I59),2)+SUM(I134:I136)</f>
        <v>157.84</v>
      </c>
      <c r="J138" s="34"/>
      <c r="K138" s="33"/>
      <c r="L138">
        <f>ROUND((Source!CT59/IF(Source!BA59&lt;&gt;0,Source!BA59,1)*Source!I59),2)</f>
        <v>44.96</v>
      </c>
      <c r="M138" s="12">
        <f>I138</f>
        <v>157.84</v>
      </c>
      <c r="N138" s="12">
        <f>K138</f>
        <v>0</v>
      </c>
      <c r="O138">
        <f>ROUND(IF(Source!BI59=1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157.84</v>
      </c>
      <c r="P138">
        <f>ROUND(IF(Source!BI59=2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Q138">
        <f>ROUND(IF(Source!BI59=3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R138">
        <f>ROUND(IF(Source!BI59=4,(ROUND((Source!CT59/IF(Source!BA59&lt;&gt;0,Source!BA59,1)*Source!I59),2)+ROUND((Source!CR59/IF(Source!BB59&lt;&gt;0,Source!BB59,1)*Source!I59),2)+ROUND((Source!CQ59/IF(Source!BC59&lt;&gt;0,Source!BC59,1)*Source!I59),2)+((Source!DN59/100)*ROUND((Source!CT59/IF(Source!BA59&lt;&gt;0,Source!BA59,1)*Source!I59),2))+((Source!DO59/100)*ROUND((Source!CT59/IF(Source!BA59&lt;&gt;0,Source!BA59,1)*Source!I59),2))+(ROUND((Source!CS59/IF(Source!BS59&lt;&gt;0,Source!BS59,1)*Source!I59),2)*1.75)),0),2)</f>
        <v>0</v>
      </c>
      <c r="U138">
        <f>IF(Source!BI59=1,Source!O59+Source!X59+Source!Y59+Source!R59*167/100,0)</f>
        <v>1623.7641999999998</v>
      </c>
      <c r="V138">
        <f>IF(Source!BI59=2,Source!O59+Source!X59+Source!Y59+Source!R59*167/100,0)</f>
        <v>0</v>
      </c>
      <c r="W138">
        <f>IF(Source!BI59=3,Source!O59+Source!X59+Source!Y59+Source!R59*167/100,0)</f>
        <v>0</v>
      </c>
      <c r="X138">
        <f>IF(Source!BI59=4,Source!O59+Source!X59+Source!Y59+Source!R59*167/100,0)</f>
        <v>0</v>
      </c>
    </row>
    <row r="139" spans="1:25" ht="72">
      <c r="A139" s="26" t="str">
        <f>Source!E60</f>
        <v>12</v>
      </c>
      <c r="B139" s="26" t="str">
        <f>Source!F60</f>
        <v>4.0-2-2</v>
      </c>
      <c r="C139" s="9" t="str">
        <f>Source!G60</f>
        <v>ВЕРТИКАЛЬНОЕ ПЕРЕМЕЩЕНИЕ ОБОРУДОВАНИЯ И МАТЕРИАЛЬНЫХ РЕСУРСОВ, СВЕРХ ПРЕДУСМОТРЕННОГО СБОРНИКОМ 1 М, НА ВЫСОТУ ДО 10 М</v>
      </c>
      <c r="D139" s="27" t="str">
        <f>Source!H60</f>
        <v>т</v>
      </c>
      <c r="E139" s="8">
        <f>ROUND(Source!I60,6)</f>
        <v>0.119</v>
      </c>
      <c r="F139" s="8"/>
      <c r="G139" s="8"/>
      <c r="H139" s="8"/>
      <c r="I139" s="8"/>
      <c r="J139" s="8"/>
      <c r="K139" s="8"/>
      <c r="Y139">
        <v>12</v>
      </c>
    </row>
    <row r="140" spans="1:11" ht="12.75">
      <c r="A140" s="8"/>
      <c r="B140" s="8"/>
      <c r="C140" s="8" t="s">
        <v>644</v>
      </c>
      <c r="D140" s="8"/>
      <c r="E140" s="8"/>
      <c r="F140" s="11">
        <f>Source!AO60</f>
        <v>58.08</v>
      </c>
      <c r="G140" s="28">
        <f>Source!DG60</f>
      </c>
      <c r="H140" s="8">
        <f>Source!AV60</f>
        <v>1.067</v>
      </c>
      <c r="I140" s="11">
        <f>ROUND((Source!CT60/IF(Source!BA60&lt;&gt;0,Source!BA60,1)*Source!I60),2)</f>
        <v>7.37</v>
      </c>
      <c r="J140" s="8">
        <f>Source!BA60</f>
        <v>13.09</v>
      </c>
      <c r="K140" s="11"/>
    </row>
    <row r="141" spans="1:11" ht="12.75">
      <c r="A141" s="8"/>
      <c r="B141" s="8"/>
      <c r="C141" s="8" t="s">
        <v>645</v>
      </c>
      <c r="D141" s="8"/>
      <c r="E141" s="8"/>
      <c r="F141" s="11">
        <f>Source!AM60</f>
        <v>5</v>
      </c>
      <c r="G141" s="28">
        <f>Source!DE60</f>
      </c>
      <c r="H141" s="8">
        <f>Source!AV60</f>
        <v>1.067</v>
      </c>
      <c r="I141" s="11">
        <f>ROUND((Source!CR60/IF(Source!BB60&lt;&gt;0,Source!BB60,1)*Source!I60),2)</f>
        <v>0.63</v>
      </c>
      <c r="J141" s="8">
        <f>Source!BB60</f>
        <v>5.42</v>
      </c>
      <c r="K141" s="11"/>
    </row>
    <row r="142" spans="1:12" ht="12.75">
      <c r="A142" s="8"/>
      <c r="B142" s="8"/>
      <c r="C142" s="8" t="s">
        <v>646</v>
      </c>
      <c r="D142" s="8"/>
      <c r="E142" s="8"/>
      <c r="F142" s="11">
        <f>Source!AN60</f>
        <v>1</v>
      </c>
      <c r="G142" s="28">
        <f>Source!DF60</f>
      </c>
      <c r="H142" s="8">
        <f>Source!AV60</f>
        <v>1.067</v>
      </c>
      <c r="I142" s="29" t="str">
        <f>CONCATENATE("(",TEXT(+ROUND((Source!CS60/IF(J142&lt;&gt;0,J142,1)*Source!I60),2),"0,00"),")")</f>
        <v>(0,13)</v>
      </c>
      <c r="J142" s="8">
        <f>Source!BS60</f>
        <v>13.09</v>
      </c>
      <c r="K142" s="29"/>
      <c r="L142">
        <f>ROUND(IF(J142&lt;&gt;0,Source!R60/J142,Source!R60),2)</f>
        <v>0.13</v>
      </c>
    </row>
    <row r="143" spans="1:11" ht="12.75">
      <c r="A143" s="8"/>
      <c r="B143" s="8"/>
      <c r="C143" s="8" t="s">
        <v>647</v>
      </c>
      <c r="D143" s="8" t="s">
        <v>648</v>
      </c>
      <c r="E143" s="8">
        <f>Source!DN60</f>
        <v>79</v>
      </c>
      <c r="F143" s="8"/>
      <c r="G143" s="8"/>
      <c r="H143" s="8"/>
      <c r="I143" s="11">
        <f>ROUND((E143/100)*ROUND((Source!CT60/IF(Source!BA60&lt;&gt;0,Source!BA60,1)*Source!I60),2),2)</f>
        <v>5.82</v>
      </c>
      <c r="J143" s="8">
        <f>Source!AT60</f>
        <v>73</v>
      </c>
      <c r="K143" s="11"/>
    </row>
    <row r="144" spans="1:11" ht="12.75">
      <c r="A144" s="8"/>
      <c r="B144" s="8"/>
      <c r="C144" s="8" t="s">
        <v>649</v>
      </c>
      <c r="D144" s="8" t="s">
        <v>648</v>
      </c>
      <c r="E144" s="8">
        <f>Source!DO60</f>
        <v>70</v>
      </c>
      <c r="F144" s="8"/>
      <c r="G144" s="8"/>
      <c r="H144" s="8"/>
      <c r="I144" s="11">
        <f>ROUND((E144/100)*ROUND((Source!CT60/IF(Source!BA60&lt;&gt;0,Source!BA60,1)*Source!I60),2),2)</f>
        <v>5.16</v>
      </c>
      <c r="J144" s="8">
        <f>Source!AU60</f>
        <v>42</v>
      </c>
      <c r="K144" s="11"/>
    </row>
    <row r="145" spans="1:11" ht="12.75">
      <c r="A145" s="8"/>
      <c r="B145" s="8"/>
      <c r="C145" s="8" t="s">
        <v>650</v>
      </c>
      <c r="D145" s="8" t="s">
        <v>648</v>
      </c>
      <c r="E145" s="8">
        <v>175</v>
      </c>
      <c r="F145" s="8"/>
      <c r="G145" s="8"/>
      <c r="H145" s="8"/>
      <c r="I145" s="11">
        <f>ROUND(ROUND((Source!CS60/IF(Source!BS60&lt;&gt;0,Source!BS60,1)*Source!I60),2)*1.75,2)</f>
        <v>0.23</v>
      </c>
      <c r="J145" s="8">
        <v>167</v>
      </c>
      <c r="K145" s="11"/>
    </row>
    <row r="146" spans="1:11" ht="12.75">
      <c r="A146" s="30"/>
      <c r="B146" s="30"/>
      <c r="C146" s="30" t="s">
        <v>651</v>
      </c>
      <c r="D146" s="30" t="s">
        <v>652</v>
      </c>
      <c r="E146" s="30">
        <f>Source!AQ60</f>
        <v>4.4</v>
      </c>
      <c r="F146" s="30"/>
      <c r="G146" s="31">
        <f>Source!DI60</f>
      </c>
      <c r="H146" s="30">
        <f>Source!AV60</f>
        <v>1.067</v>
      </c>
      <c r="I146" s="32">
        <f>ROUND(Source!U60,2)</f>
        <v>0.56</v>
      </c>
      <c r="J146" s="30"/>
      <c r="K146" s="30"/>
    </row>
    <row r="147" spans="9:24" ht="12.75">
      <c r="I147" s="33">
        <f>ROUND((Source!CT60/IF(Source!BA60&lt;&gt;0,Source!BA60,1)*Source!I60),2)+ROUND((Source!CR60/IF(Source!BB60&lt;&gt;0,Source!BB60,1)*Source!I60),2)+ROUND((Source!CQ60/IF(Source!BC60&lt;&gt;0,Source!BC60,1)*Source!I60),2)+SUM(I143:I145)</f>
        <v>19.21</v>
      </c>
      <c r="J147" s="34"/>
      <c r="K147" s="33"/>
      <c r="L147">
        <f>ROUND((Source!CT60/IF(Source!BA60&lt;&gt;0,Source!BA60,1)*Source!I60),2)</f>
        <v>7.37</v>
      </c>
      <c r="M147" s="12">
        <f>I147</f>
        <v>19.21</v>
      </c>
      <c r="N147" s="12">
        <f>K147</f>
        <v>0</v>
      </c>
      <c r="O147">
        <f>ROUND(IF(Source!BI60=1,(ROUND((Source!CT60/IF(Source!BA60&lt;&gt;0,Source!BA60,1)*Source!I60),2)+ROUND((Source!CR60/IF(Source!BB60&lt;&gt;0,Source!BB60,1)*Source!I60),2)+ROUND((Source!CQ60/IF(Source!BC60&lt;&gt;0,Source!BC60,1)*Source!I60),2)+((Source!DN60/100)*ROUND((Source!CT60/IF(Source!BA60&lt;&gt;0,Source!BA60,1)*Source!I60),2))+((Source!DO60/100)*ROUND((Source!CT60/IF(Source!BA60&lt;&gt;0,Source!BA60,1)*Source!I60),2))+(ROUND((Source!CS60/IF(Source!BS60&lt;&gt;0,Source!BS60,1)*Source!I60),2)*1.75)),0),2)</f>
        <v>0</v>
      </c>
      <c r="P147">
        <f>ROUND(IF(Source!BI60=2,(ROUND((Source!CT60/IF(Source!BA60&lt;&gt;0,Source!BA60,1)*Source!I60),2)+ROUND((Source!CR60/IF(Source!BB60&lt;&gt;0,Source!BB60,1)*Source!I60),2)+ROUND((Source!CQ60/IF(Source!BC60&lt;&gt;0,Source!BC60,1)*Source!I60),2)+((Source!DN60/100)*ROUND((Source!CT60/IF(Source!BA60&lt;&gt;0,Source!BA60,1)*Source!I60),2))+((Source!DO60/100)*ROUND((Source!CT60/IF(Source!BA60&lt;&gt;0,Source!BA60,1)*Source!I60),2))+(ROUND((Source!CS60/IF(Source!BS60&lt;&gt;0,Source!BS60,1)*Source!I60),2)*1.75)),0),2)</f>
        <v>19.21</v>
      </c>
      <c r="Q147">
        <f>ROUND(IF(Source!BI60=3,(ROUND((Source!CT60/IF(Source!BA60&lt;&gt;0,Source!BA60,1)*Source!I60),2)+ROUND((Source!CR60/IF(Source!BB60&lt;&gt;0,Source!BB60,1)*Source!I60),2)+ROUND((Source!CQ60/IF(Source!BC60&lt;&gt;0,Source!BC60,1)*Source!I60),2)+((Source!DN60/100)*ROUND((Source!CT60/IF(Source!BA60&lt;&gt;0,Source!BA60,1)*Source!I60),2))+((Source!DO60/100)*ROUND((Source!CT60/IF(Source!BA60&lt;&gt;0,Source!BA60,1)*Source!I60),2))+(ROUND((Source!CS60/IF(Source!BS60&lt;&gt;0,Source!BS60,1)*Source!I60),2)*1.75)),0),2)</f>
        <v>0</v>
      </c>
      <c r="R147">
        <f>ROUND(IF(Source!BI60=4,(ROUND((Source!CT60/IF(Source!BA60&lt;&gt;0,Source!BA60,1)*Source!I60),2)+ROUND((Source!CR60/IF(Source!BB60&lt;&gt;0,Source!BB60,1)*Source!I60),2)+ROUND((Source!CQ60/IF(Source!BC60&lt;&gt;0,Source!BC60,1)*Source!I60),2)+((Source!DN60/100)*ROUND((Source!CT60/IF(Source!BA60&lt;&gt;0,Source!BA60,1)*Source!I60),2))+((Source!DO60/100)*ROUND((Source!CT60/IF(Source!BA60&lt;&gt;0,Source!BA60,1)*Source!I60),2))+(ROUND((Source!CS60/IF(Source!BS60&lt;&gt;0,Source!BS60,1)*Source!I60),2)*1.75)),0),2)</f>
        <v>0</v>
      </c>
      <c r="U147">
        <f>IF(Source!BI60=1,Source!O60+Source!X60+Source!Y60+Source!R60*167/100,0)</f>
        <v>0</v>
      </c>
      <c r="V147">
        <f>IF(Source!BI60=2,Source!O60+Source!X60+Source!Y60+Source!R60*167/100,0)</f>
        <v>213.7522</v>
      </c>
      <c r="W147">
        <f>IF(Source!BI60=3,Source!O60+Source!X60+Source!Y60+Source!R60*167/100,0)</f>
        <v>0</v>
      </c>
      <c r="X147">
        <f>IF(Source!BI60=4,Source!O60+Source!X60+Source!Y60+Source!R60*167/100,0)</f>
        <v>0</v>
      </c>
    </row>
    <row r="148" spans="1:25" ht="24">
      <c r="A148" s="26" t="str">
        <f>Source!E61</f>
        <v>13</v>
      </c>
      <c r="B148" s="26" t="str">
        <f>Source!F61</f>
        <v>4.10-75-1</v>
      </c>
      <c r="C148" s="9" t="str">
        <f>Source!G61</f>
        <v>ШКАФ ИЛИ СТАТИВ (СТОЙКА) МАССОЙ: ДО 100 КГ</v>
      </c>
      <c r="D148" s="27" t="str">
        <f>Source!H61</f>
        <v>шт.</v>
      </c>
      <c r="E148" s="8">
        <f>ROUND(Source!I61,6)</f>
        <v>1</v>
      </c>
      <c r="F148" s="8"/>
      <c r="G148" s="8"/>
      <c r="H148" s="8"/>
      <c r="I148" s="8"/>
      <c r="J148" s="8"/>
      <c r="K148" s="8"/>
      <c r="Y148">
        <v>13</v>
      </c>
    </row>
    <row r="149" spans="1:11" ht="12.75">
      <c r="A149" s="8"/>
      <c r="B149" s="8"/>
      <c r="C149" s="8" t="s">
        <v>644</v>
      </c>
      <c r="D149" s="8"/>
      <c r="E149" s="8"/>
      <c r="F149" s="11">
        <f>Source!AO61</f>
        <v>164.06</v>
      </c>
      <c r="G149" s="28">
        <f>Source!DG61</f>
      </c>
      <c r="H149" s="8">
        <f>Source!AV61</f>
        <v>1.047</v>
      </c>
      <c r="I149" s="11">
        <f>ROUND((Source!CT61/IF(Source!BA61&lt;&gt;0,Source!BA61,1)*Source!I61),2)</f>
        <v>171.77</v>
      </c>
      <c r="J149" s="8">
        <f>Source!BA61</f>
        <v>13.09</v>
      </c>
      <c r="K149" s="11"/>
    </row>
    <row r="150" spans="1:11" ht="12.75">
      <c r="A150" s="8"/>
      <c r="B150" s="8"/>
      <c r="C150" s="8" t="s">
        <v>655</v>
      </c>
      <c r="D150" s="8"/>
      <c r="E150" s="8"/>
      <c r="F150" s="11">
        <f>Source!AL61</f>
        <v>1.4</v>
      </c>
      <c r="G150" s="8">
        <f>Source!DD61</f>
      </c>
      <c r="H150" s="8">
        <f>Source!AW61</f>
        <v>1</v>
      </c>
      <c r="I150" s="11">
        <f>ROUND((Source!CQ61/IF(Source!BC61&lt;&gt;0,Source!BC61,1)*Source!I61),2)</f>
        <v>1.4</v>
      </c>
      <c r="J150" s="8">
        <f>Source!BC61</f>
        <v>4.56</v>
      </c>
      <c r="K150" s="11"/>
    </row>
    <row r="151" spans="1:11" ht="12.75">
      <c r="A151" s="8"/>
      <c r="B151" s="8"/>
      <c r="C151" s="8" t="s">
        <v>647</v>
      </c>
      <c r="D151" s="8" t="s">
        <v>648</v>
      </c>
      <c r="E151" s="8">
        <f>Source!DN61</f>
        <v>112</v>
      </c>
      <c r="F151" s="8"/>
      <c r="G151" s="8"/>
      <c r="H151" s="8"/>
      <c r="I151" s="11">
        <f>ROUND((E151/100)*ROUND((Source!CT61/IF(Source!BA61&lt;&gt;0,Source!BA61,1)*Source!I61),2),2)</f>
        <v>192.38</v>
      </c>
      <c r="J151" s="8">
        <f>Source!AT61</f>
        <v>96</v>
      </c>
      <c r="K151" s="11"/>
    </row>
    <row r="152" spans="1:11" ht="12.75">
      <c r="A152" s="8"/>
      <c r="B152" s="8"/>
      <c r="C152" s="8" t="s">
        <v>649</v>
      </c>
      <c r="D152" s="8" t="s">
        <v>648</v>
      </c>
      <c r="E152" s="8">
        <f>Source!DO61</f>
        <v>70</v>
      </c>
      <c r="F152" s="8"/>
      <c r="G152" s="8"/>
      <c r="H152" s="8"/>
      <c r="I152" s="11">
        <f>ROUND((E152/100)*ROUND((Source!CT61/IF(Source!BA61&lt;&gt;0,Source!BA61,1)*Source!I61),2),2)</f>
        <v>120.24</v>
      </c>
      <c r="J152" s="8">
        <f>Source!AU61</f>
        <v>42</v>
      </c>
      <c r="K152" s="11"/>
    </row>
    <row r="153" spans="1:11" ht="12.75">
      <c r="A153" s="30"/>
      <c r="B153" s="30"/>
      <c r="C153" s="30" t="s">
        <v>651</v>
      </c>
      <c r="D153" s="30" t="s">
        <v>652</v>
      </c>
      <c r="E153" s="30">
        <f>Source!AQ61</f>
        <v>13</v>
      </c>
      <c r="F153" s="30"/>
      <c r="G153" s="31">
        <f>Source!DI61</f>
      </c>
      <c r="H153" s="30">
        <f>Source!AV61</f>
        <v>1.047</v>
      </c>
      <c r="I153" s="32">
        <f>ROUND(Source!U61,2)</f>
        <v>13.61</v>
      </c>
      <c r="J153" s="30"/>
      <c r="K153" s="30"/>
    </row>
    <row r="154" spans="9:24" ht="12.75">
      <c r="I154" s="33">
        <f>ROUND((Source!CT61/IF(Source!BA61&lt;&gt;0,Source!BA61,1)*Source!I61),2)+ROUND((Source!CR61/IF(Source!BB61&lt;&gt;0,Source!BB61,1)*Source!I61),2)+ROUND((Source!CQ61/IF(Source!BC61&lt;&gt;0,Source!BC61,1)*Source!I61),2)+SUM(I151:I152)</f>
        <v>485.79</v>
      </c>
      <c r="J154" s="34"/>
      <c r="K154" s="33"/>
      <c r="L154">
        <f>ROUND((Source!CT61/IF(Source!BA61&lt;&gt;0,Source!BA61,1)*Source!I61),2)</f>
        <v>171.77</v>
      </c>
      <c r="M154" s="12">
        <f>I154</f>
        <v>485.79</v>
      </c>
      <c r="N154" s="12">
        <f>K154</f>
        <v>0</v>
      </c>
      <c r="O154">
        <f>ROUND(IF(Source!BI61=1,(ROUND((Source!CT61/IF(Source!BA61&lt;&gt;0,Source!BA61,1)*Source!I61),2)+ROUND((Source!CR61/IF(Source!BB61&lt;&gt;0,Source!BB61,1)*Source!I61),2)+ROUND((Source!CQ61/IF(Source!BC61&lt;&gt;0,Source!BC61,1)*Source!I61),2)+((Source!DN61/100)*ROUND((Source!CT61/IF(Source!BA61&lt;&gt;0,Source!BA61,1)*Source!I61),2))+((Source!DO61/100)*ROUND((Source!CT61/IF(Source!BA61&lt;&gt;0,Source!BA61,1)*Source!I61),2))+(ROUND((Source!CS61/IF(Source!BS61&lt;&gt;0,Source!BS61,1)*Source!I61),2)*1.75)),0),2)</f>
        <v>0</v>
      </c>
      <c r="P154">
        <f>ROUND(IF(Source!BI61=2,(ROUND((Source!CT61/IF(Source!BA61&lt;&gt;0,Source!BA61,1)*Source!I61),2)+ROUND((Source!CR61/IF(Source!BB61&lt;&gt;0,Source!BB61,1)*Source!I61),2)+ROUND((Source!CQ61/IF(Source!BC61&lt;&gt;0,Source!BC61,1)*Source!I61),2)+((Source!DN61/100)*ROUND((Source!CT61/IF(Source!BA61&lt;&gt;0,Source!BA61,1)*Source!I61),2))+((Source!DO61/100)*ROUND((Source!CT61/IF(Source!BA61&lt;&gt;0,Source!BA61,1)*Source!I61),2))+(ROUND((Source!CS61/IF(Source!BS61&lt;&gt;0,Source!BS61,1)*Source!I61),2)*1.75)),0),2)</f>
        <v>485.79</v>
      </c>
      <c r="Q154">
        <f>ROUND(IF(Source!BI61=3,(ROUND((Source!CT61/IF(Source!BA61&lt;&gt;0,Source!BA61,1)*Source!I61),2)+ROUND((Source!CR61/IF(Source!BB61&lt;&gt;0,Source!BB61,1)*Source!I61),2)+ROUND((Source!CQ61/IF(Source!BC61&lt;&gt;0,Source!BC61,1)*Source!I61),2)+((Source!DN61/100)*ROUND((Source!CT61/IF(Source!BA61&lt;&gt;0,Source!BA61,1)*Source!I61),2))+((Source!DO61/100)*ROUND((Source!CT61/IF(Source!BA61&lt;&gt;0,Source!BA61,1)*Source!I61),2))+(ROUND((Source!CS61/IF(Source!BS61&lt;&gt;0,Source!BS61,1)*Source!I61),2)*1.75)),0),2)</f>
        <v>0</v>
      </c>
      <c r="R154">
        <f>ROUND(IF(Source!BI61=4,(ROUND((Source!CT61/IF(Source!BA61&lt;&gt;0,Source!BA61,1)*Source!I61),2)+ROUND((Source!CR61/IF(Source!BB61&lt;&gt;0,Source!BB61,1)*Source!I61),2)+ROUND((Source!CQ61/IF(Source!BC61&lt;&gt;0,Source!BC61,1)*Source!I61),2)+((Source!DN61/100)*ROUND((Source!CT61/IF(Source!BA61&lt;&gt;0,Source!BA61,1)*Source!I61),2))+((Source!DO61/100)*ROUND((Source!CT61/IF(Source!BA61&lt;&gt;0,Source!BA61,1)*Source!I61),2))+(ROUND((Source!CS61/IF(Source!BS61&lt;&gt;0,Source!BS61,1)*Source!I61),2)*1.75)),0),2)</f>
        <v>0</v>
      </c>
      <c r="U154">
        <f>IF(Source!BI61=1,Source!O61+Source!X61+Source!Y61+Source!R61*167/100,0)</f>
        <v>0</v>
      </c>
      <c r="V154">
        <f>IF(Source!BI61=2,Source!O61+Source!X61+Source!Y61+Source!R61*167/100,0)</f>
        <v>5357.759999999999</v>
      </c>
      <c r="W154">
        <f>IF(Source!BI61=3,Source!O61+Source!X61+Source!Y61+Source!R61*167/100,0)</f>
        <v>0</v>
      </c>
      <c r="X154">
        <f>IF(Source!BI61=4,Source!O61+Source!X61+Source!Y61+Source!R61*167/100,0)</f>
        <v>0</v>
      </c>
    </row>
    <row r="155" spans="1:25" ht="36">
      <c r="A155" s="26" t="str">
        <f>Source!E62</f>
        <v>14</v>
      </c>
      <c r="B155" s="26" t="str">
        <f>Source!F62</f>
        <v>4.11-12-1</v>
      </c>
      <c r="C155" s="9" t="str">
        <f>Source!G62</f>
        <v>СЪЕМНЫЕ И ВЫДВИЖНЫЕ БЛОКИ (МОДУЛИ, ЯЧЕЙКИ, ТЭЗ), МАССА: ДО 0,005 Т (ОПТИЧЕСКИЙ КРОСС)</v>
      </c>
      <c r="D155" s="27" t="str">
        <f>Source!H62</f>
        <v>шт.</v>
      </c>
      <c r="E155" s="8">
        <f>ROUND(Source!I62,6)</f>
        <v>1</v>
      </c>
      <c r="F155" s="8"/>
      <c r="G155" s="8"/>
      <c r="H155" s="8"/>
      <c r="I155" s="8"/>
      <c r="J155" s="8"/>
      <c r="K155" s="8"/>
      <c r="Y155">
        <v>14</v>
      </c>
    </row>
    <row r="156" spans="1:11" ht="12.75">
      <c r="A156" s="8"/>
      <c r="B156" s="8"/>
      <c r="C156" s="8" t="s">
        <v>644</v>
      </c>
      <c r="D156" s="8"/>
      <c r="E156" s="8"/>
      <c r="F156" s="11">
        <f>Source!AO62</f>
        <v>11.66</v>
      </c>
      <c r="G156" s="28">
        <f>Source!DG62</f>
      </c>
      <c r="H156" s="8">
        <f>Source!AV62</f>
        <v>1.047</v>
      </c>
      <c r="I156" s="11">
        <f>ROUND((Source!CT62/IF(Source!BA62&lt;&gt;0,Source!BA62,1)*Source!I62),2)</f>
        <v>12.21</v>
      </c>
      <c r="J156" s="8">
        <f>Source!BA62</f>
        <v>13.09</v>
      </c>
      <c r="K156" s="11"/>
    </row>
    <row r="157" spans="1:11" ht="12.75">
      <c r="A157" s="8"/>
      <c r="B157" s="8"/>
      <c r="C157" s="8" t="s">
        <v>645</v>
      </c>
      <c r="D157" s="8"/>
      <c r="E157" s="8"/>
      <c r="F157" s="11">
        <f>Source!AM62</f>
        <v>0.45</v>
      </c>
      <c r="G157" s="28">
        <f>Source!DE62</f>
      </c>
      <c r="H157" s="8">
        <f>Source!AV62</f>
        <v>1.047</v>
      </c>
      <c r="I157" s="11">
        <f>ROUND((Source!CR62/IF(Source!BB62&lt;&gt;0,Source!BB62,1)*Source!I62),2)</f>
        <v>0.47</v>
      </c>
      <c r="J157" s="8">
        <f>Source!BB62</f>
        <v>7.47</v>
      </c>
      <c r="K157" s="11"/>
    </row>
    <row r="158" spans="1:12" ht="12.75">
      <c r="A158" s="8"/>
      <c r="B158" s="8"/>
      <c r="C158" s="8" t="s">
        <v>646</v>
      </c>
      <c r="D158" s="8"/>
      <c r="E158" s="8"/>
      <c r="F158" s="11">
        <f>Source!AN62</f>
        <v>0.11</v>
      </c>
      <c r="G158" s="28">
        <f>Source!DF62</f>
      </c>
      <c r="H158" s="8">
        <f>Source!AV62</f>
        <v>1.047</v>
      </c>
      <c r="I158" s="29" t="str">
        <f>CONCATENATE("(",TEXT(+ROUND((Source!CS62/IF(J158&lt;&gt;0,J158,1)*Source!I62),2),"0,00"),")")</f>
        <v>(0,12)</v>
      </c>
      <c r="J158" s="8">
        <f>Source!BS62</f>
        <v>13.09</v>
      </c>
      <c r="K158" s="29"/>
      <c r="L158">
        <f>ROUND(IF(J158&lt;&gt;0,Source!R62/J158,Source!R62),2)</f>
        <v>0.12</v>
      </c>
    </row>
    <row r="159" spans="1:11" ht="12.75">
      <c r="A159" s="8"/>
      <c r="B159" s="8"/>
      <c r="C159" s="8" t="s">
        <v>655</v>
      </c>
      <c r="D159" s="8"/>
      <c r="E159" s="8"/>
      <c r="F159" s="11">
        <f>Source!AL62</f>
        <v>0.14</v>
      </c>
      <c r="G159" s="8">
        <f>Source!DD62</f>
      </c>
      <c r="H159" s="8">
        <f>Source!AW62</f>
        <v>1</v>
      </c>
      <c r="I159" s="11">
        <f>ROUND((Source!CQ62/IF(Source!BC62&lt;&gt;0,Source!BC62,1)*Source!I62),2)</f>
        <v>0.14</v>
      </c>
      <c r="J159" s="8">
        <f>Source!BC62</f>
        <v>4.56</v>
      </c>
      <c r="K159" s="11"/>
    </row>
    <row r="160" spans="1:11" ht="12.75">
      <c r="A160" s="8"/>
      <c r="B160" s="8"/>
      <c r="C160" s="8" t="s">
        <v>647</v>
      </c>
      <c r="D160" s="8" t="s">
        <v>648</v>
      </c>
      <c r="E160" s="8">
        <f>Source!DN62</f>
        <v>112</v>
      </c>
      <c r="F160" s="8"/>
      <c r="G160" s="8"/>
      <c r="H160" s="8"/>
      <c r="I160" s="11">
        <f>ROUND((E160/100)*ROUND((Source!CT62/IF(Source!BA62&lt;&gt;0,Source!BA62,1)*Source!I62),2),2)</f>
        <v>13.68</v>
      </c>
      <c r="J160" s="8">
        <f>Source!AT62</f>
        <v>96</v>
      </c>
      <c r="K160" s="11"/>
    </row>
    <row r="161" spans="1:11" ht="12.75">
      <c r="A161" s="8"/>
      <c r="B161" s="8"/>
      <c r="C161" s="8" t="s">
        <v>649</v>
      </c>
      <c r="D161" s="8" t="s">
        <v>648</v>
      </c>
      <c r="E161" s="8">
        <f>Source!DO62</f>
        <v>70</v>
      </c>
      <c r="F161" s="8"/>
      <c r="G161" s="8"/>
      <c r="H161" s="8"/>
      <c r="I161" s="11">
        <f>ROUND((E161/100)*ROUND((Source!CT62/IF(Source!BA62&lt;&gt;0,Source!BA62,1)*Source!I62),2),2)</f>
        <v>8.55</v>
      </c>
      <c r="J161" s="8">
        <f>Source!AU62</f>
        <v>42</v>
      </c>
      <c r="K161" s="11"/>
    </row>
    <row r="162" spans="1:11" ht="12.75">
      <c r="A162" s="8"/>
      <c r="B162" s="8"/>
      <c r="C162" s="8" t="s">
        <v>650</v>
      </c>
      <c r="D162" s="8" t="s">
        <v>648</v>
      </c>
      <c r="E162" s="8">
        <v>175</v>
      </c>
      <c r="F162" s="8"/>
      <c r="G162" s="8"/>
      <c r="H162" s="8"/>
      <c r="I162" s="11">
        <f>ROUND(ROUND((Source!CS62/IF(Source!BS62&lt;&gt;0,Source!BS62,1)*Source!I62),2)*1.75,2)</f>
        <v>0.21</v>
      </c>
      <c r="J162" s="8">
        <v>167</v>
      </c>
      <c r="K162" s="11"/>
    </row>
    <row r="163" spans="1:11" ht="12.75">
      <c r="A163" s="30"/>
      <c r="B163" s="30"/>
      <c r="C163" s="30" t="s">
        <v>651</v>
      </c>
      <c r="D163" s="30" t="s">
        <v>652</v>
      </c>
      <c r="E163" s="30">
        <f>Source!AQ62</f>
        <v>1.03</v>
      </c>
      <c r="F163" s="30"/>
      <c r="G163" s="31">
        <f>Source!DI62</f>
      </c>
      <c r="H163" s="30">
        <f>Source!AV62</f>
        <v>1.047</v>
      </c>
      <c r="I163" s="32">
        <f>ROUND(Source!U62,2)</f>
        <v>1.08</v>
      </c>
      <c r="J163" s="30"/>
      <c r="K163" s="30"/>
    </row>
    <row r="164" spans="9:24" ht="12.75">
      <c r="I164" s="33">
        <f>ROUND((Source!CT62/IF(Source!BA62&lt;&gt;0,Source!BA62,1)*Source!I62),2)+ROUND((Source!CR62/IF(Source!BB62&lt;&gt;0,Source!BB62,1)*Source!I62),2)+ROUND((Source!CQ62/IF(Source!BC62&lt;&gt;0,Source!BC62,1)*Source!I62),2)+SUM(I160:I162)</f>
        <v>35.260000000000005</v>
      </c>
      <c r="J164" s="34"/>
      <c r="K164" s="33"/>
      <c r="L164">
        <f>ROUND((Source!CT62/IF(Source!BA62&lt;&gt;0,Source!BA62,1)*Source!I62),2)</f>
        <v>12.21</v>
      </c>
      <c r="M164" s="12">
        <f>I164</f>
        <v>35.260000000000005</v>
      </c>
      <c r="N164" s="12">
        <f>K164</f>
        <v>0</v>
      </c>
      <c r="O164">
        <f>ROUND(IF(Source!BI62=1,(ROUND((Source!CT62/IF(Source!BA62&lt;&gt;0,Source!BA62,1)*Source!I62),2)+ROUND((Source!CR62/IF(Source!BB62&lt;&gt;0,Source!BB62,1)*Source!I62),2)+ROUND((Source!CQ62/IF(Source!BC62&lt;&gt;0,Source!BC62,1)*Source!I62),2)+((Source!DN62/100)*ROUND((Source!CT62/IF(Source!BA62&lt;&gt;0,Source!BA62,1)*Source!I62),2))+((Source!DO62/100)*ROUND((Source!CT62/IF(Source!BA62&lt;&gt;0,Source!BA62,1)*Source!I62),2))+(ROUND((Source!CS62/IF(Source!BS62&lt;&gt;0,Source!BS62,1)*Source!I62),2)*1.75)),0),2)</f>
        <v>0</v>
      </c>
      <c r="P164">
        <f>ROUND(IF(Source!BI62=2,(ROUND((Source!CT62/IF(Source!BA62&lt;&gt;0,Source!BA62,1)*Source!I62),2)+ROUND((Source!CR62/IF(Source!BB62&lt;&gt;0,Source!BB62,1)*Source!I62),2)+ROUND((Source!CQ62/IF(Source!BC62&lt;&gt;0,Source!BC62,1)*Source!I62),2)+((Source!DN62/100)*ROUND((Source!CT62/IF(Source!BA62&lt;&gt;0,Source!BA62,1)*Source!I62),2))+((Source!DO62/100)*ROUND((Source!CT62/IF(Source!BA62&lt;&gt;0,Source!BA62,1)*Source!I62),2))+(ROUND((Source!CS62/IF(Source!BS62&lt;&gt;0,Source!BS62,1)*Source!I62),2)*1.75)),0),2)</f>
        <v>35.25</v>
      </c>
      <c r="Q164">
        <f>ROUND(IF(Source!BI62=3,(ROUND((Source!CT62/IF(Source!BA62&lt;&gt;0,Source!BA62,1)*Source!I62),2)+ROUND((Source!CR62/IF(Source!BB62&lt;&gt;0,Source!BB62,1)*Source!I62),2)+ROUND((Source!CQ62/IF(Source!BC62&lt;&gt;0,Source!BC62,1)*Source!I62),2)+((Source!DN62/100)*ROUND((Source!CT62/IF(Source!BA62&lt;&gt;0,Source!BA62,1)*Source!I62),2))+((Source!DO62/100)*ROUND((Source!CT62/IF(Source!BA62&lt;&gt;0,Source!BA62,1)*Source!I62),2))+(ROUND((Source!CS62/IF(Source!BS62&lt;&gt;0,Source!BS62,1)*Source!I62),2)*1.75)),0),2)</f>
        <v>0</v>
      </c>
      <c r="R164">
        <f>ROUND(IF(Source!BI62=4,(ROUND((Source!CT62/IF(Source!BA62&lt;&gt;0,Source!BA62,1)*Source!I62),2)+ROUND((Source!CR62/IF(Source!BB62&lt;&gt;0,Source!BB62,1)*Source!I62),2)+ROUND((Source!CQ62/IF(Source!BC62&lt;&gt;0,Source!BC62,1)*Source!I62),2)+((Source!DN62/100)*ROUND((Source!CT62/IF(Source!BA62&lt;&gt;0,Source!BA62,1)*Source!I62),2))+((Source!DO62/100)*ROUND((Source!CT62/IF(Source!BA62&lt;&gt;0,Source!BA62,1)*Source!I62),2))+(ROUND((Source!CS62/IF(Source!BS62&lt;&gt;0,Source!BS62,1)*Source!I62),2)*1.75)),0),2)</f>
        <v>0</v>
      </c>
      <c r="U164">
        <f>IF(Source!BI62=1,Source!O62+Source!X62+Source!Y62+Source!R62*167/100,0)</f>
        <v>0</v>
      </c>
      <c r="V164">
        <f>IF(Source!BI62=2,Source!O62+Source!X62+Source!Y62+Source!R62*167/100,0)</f>
        <v>387.0117</v>
      </c>
      <c r="W164">
        <f>IF(Source!BI62=3,Source!O62+Source!X62+Source!Y62+Source!R62*167/100,0)</f>
        <v>0</v>
      </c>
      <c r="X164">
        <f>IF(Source!BI62=4,Source!O62+Source!X62+Source!Y62+Source!R62*167/100,0)</f>
        <v>0</v>
      </c>
    </row>
    <row r="165" spans="1:25" ht="96">
      <c r="A165" s="26" t="str">
        <f>Source!E63</f>
        <v>15</v>
      </c>
      <c r="B165" s="26" t="str">
        <f>Source!F63</f>
        <v>4.8-218-1</v>
      </c>
      <c r="C165" s="9" t="str">
        <f>Source!G63</f>
        <v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v>
      </c>
      <c r="D165" s="27" t="str">
        <f>Source!H63</f>
        <v>шт.</v>
      </c>
      <c r="E165" s="8">
        <f>ROUND(Source!I63,6)</f>
        <v>1</v>
      </c>
      <c r="F165" s="8"/>
      <c r="G165" s="8"/>
      <c r="H165" s="8"/>
      <c r="I165" s="8"/>
      <c r="J165" s="8"/>
      <c r="K165" s="8"/>
      <c r="Y165">
        <v>15</v>
      </c>
    </row>
    <row r="166" spans="1:11" ht="12.75">
      <c r="A166" s="8"/>
      <c r="B166" s="8"/>
      <c r="C166" s="8" t="s">
        <v>644</v>
      </c>
      <c r="D166" s="8"/>
      <c r="E166" s="8"/>
      <c r="F166" s="11">
        <f>Source!AO63</f>
        <v>16.74</v>
      </c>
      <c r="G166" s="28" t="str">
        <f>Source!DG63</f>
        <v>)*0,8</v>
      </c>
      <c r="H166" s="8">
        <f>Source!AV63</f>
        <v>1.047</v>
      </c>
      <c r="I166" s="11">
        <f>ROUND((Source!CT63/IF(Source!BA63&lt;&gt;0,Source!BA63,1)*Source!I63),2)</f>
        <v>14.02</v>
      </c>
      <c r="J166" s="8">
        <f>Source!BA63</f>
        <v>13.09</v>
      </c>
      <c r="K166" s="11"/>
    </row>
    <row r="167" spans="1:11" ht="12.75">
      <c r="A167" s="8"/>
      <c r="B167" s="8"/>
      <c r="C167" s="8" t="s">
        <v>645</v>
      </c>
      <c r="D167" s="8"/>
      <c r="E167" s="8"/>
      <c r="F167" s="11">
        <f>Source!AM63</f>
        <v>4.93</v>
      </c>
      <c r="G167" s="28" t="str">
        <f>Source!DE63</f>
        <v>)*0,8</v>
      </c>
      <c r="H167" s="8">
        <f>Source!AV63</f>
        <v>1.047</v>
      </c>
      <c r="I167" s="11">
        <f>ROUND((Source!CR63/IF(Source!BB63&lt;&gt;0,Source!BB63,1)*Source!I63),2)</f>
        <v>4.13</v>
      </c>
      <c r="J167" s="8">
        <f>Source!BB63</f>
        <v>5.3</v>
      </c>
      <c r="K167" s="11"/>
    </row>
    <row r="168" spans="1:12" ht="12.75">
      <c r="A168" s="8"/>
      <c r="B168" s="8"/>
      <c r="C168" s="8" t="s">
        <v>646</v>
      </c>
      <c r="D168" s="8"/>
      <c r="E168" s="8"/>
      <c r="F168" s="11">
        <f>Source!AN63</f>
        <v>0.33</v>
      </c>
      <c r="G168" s="28" t="str">
        <f>Source!DF63</f>
        <v>)*0,8</v>
      </c>
      <c r="H168" s="8">
        <f>Source!AV63</f>
        <v>1.047</v>
      </c>
      <c r="I168" s="29" t="str">
        <f>CONCATENATE("(",TEXT(+ROUND((Source!CS63/IF(J168&lt;&gt;0,J168,1)*Source!I63),2),"0,00"),")")</f>
        <v>(0,28)</v>
      </c>
      <c r="J168" s="8">
        <f>Source!BS63</f>
        <v>13.09</v>
      </c>
      <c r="K168" s="29"/>
      <c r="L168">
        <f>ROUND(IF(J168&lt;&gt;0,Source!R63/J168,Source!R63),2)</f>
        <v>0.28</v>
      </c>
    </row>
    <row r="169" spans="1:11" ht="12.75">
      <c r="A169" s="8"/>
      <c r="B169" s="8"/>
      <c r="C169" s="8" t="s">
        <v>655</v>
      </c>
      <c r="D169" s="8"/>
      <c r="E169" s="8"/>
      <c r="F169" s="11">
        <f>Source!AL63</f>
        <v>15.47</v>
      </c>
      <c r="G169" s="8">
        <f>Source!DD63</f>
      </c>
      <c r="H169" s="8">
        <f>Source!AW63</f>
        <v>1</v>
      </c>
      <c r="I169" s="11">
        <f>ROUND((Source!CQ63/IF(Source!BC63&lt;&gt;0,Source!BC63,1)*Source!I63),2)</f>
        <v>15.47</v>
      </c>
      <c r="J169" s="8">
        <f>Source!BC63</f>
        <v>4.56</v>
      </c>
      <c r="K169" s="11"/>
    </row>
    <row r="170" spans="1:11" ht="12.75">
      <c r="A170" s="8"/>
      <c r="B170" s="8"/>
      <c r="C170" s="8" t="s">
        <v>647</v>
      </c>
      <c r="D170" s="8" t="s">
        <v>648</v>
      </c>
      <c r="E170" s="8">
        <f>Source!DN63</f>
        <v>112</v>
      </c>
      <c r="F170" s="8"/>
      <c r="G170" s="8"/>
      <c r="H170" s="8"/>
      <c r="I170" s="11">
        <f>ROUND((E170/100)*ROUND((Source!CT63/IF(Source!BA63&lt;&gt;0,Source!BA63,1)*Source!I63),2),2)</f>
        <v>15.7</v>
      </c>
      <c r="J170" s="8">
        <f>Source!AT63</f>
        <v>96</v>
      </c>
      <c r="K170" s="11"/>
    </row>
    <row r="171" spans="1:11" ht="12.75">
      <c r="A171" s="8"/>
      <c r="B171" s="8"/>
      <c r="C171" s="8" t="s">
        <v>649</v>
      </c>
      <c r="D171" s="8" t="s">
        <v>648</v>
      </c>
      <c r="E171" s="8">
        <f>Source!DO63</f>
        <v>70</v>
      </c>
      <c r="F171" s="8"/>
      <c r="G171" s="8"/>
      <c r="H171" s="8"/>
      <c r="I171" s="11">
        <f>ROUND((E171/100)*ROUND((Source!CT63/IF(Source!BA63&lt;&gt;0,Source!BA63,1)*Source!I63),2),2)</f>
        <v>9.81</v>
      </c>
      <c r="J171" s="8">
        <f>Source!AU63</f>
        <v>42</v>
      </c>
      <c r="K171" s="11"/>
    </row>
    <row r="172" spans="1:11" ht="12.75">
      <c r="A172" s="8"/>
      <c r="B172" s="8"/>
      <c r="C172" s="8" t="s">
        <v>650</v>
      </c>
      <c r="D172" s="8" t="s">
        <v>648</v>
      </c>
      <c r="E172" s="8">
        <v>175</v>
      </c>
      <c r="F172" s="8"/>
      <c r="G172" s="8"/>
      <c r="H172" s="8"/>
      <c r="I172" s="11">
        <f>ROUND(ROUND((Source!CS63/IF(Source!BS63&lt;&gt;0,Source!BS63,1)*Source!I63),2)*1.75,2)</f>
        <v>0.49</v>
      </c>
      <c r="J172" s="8">
        <v>167</v>
      </c>
      <c r="K172" s="11"/>
    </row>
    <row r="173" spans="1:11" ht="12.75">
      <c r="A173" s="30"/>
      <c r="B173" s="30"/>
      <c r="C173" s="30" t="s">
        <v>651</v>
      </c>
      <c r="D173" s="30" t="s">
        <v>652</v>
      </c>
      <c r="E173" s="30">
        <f>Source!AQ63</f>
        <v>1.34</v>
      </c>
      <c r="F173" s="30"/>
      <c r="G173" s="31" t="str">
        <f>Source!DI63</f>
        <v>)*0,8</v>
      </c>
      <c r="H173" s="30">
        <f>Source!AV63</f>
        <v>1.047</v>
      </c>
      <c r="I173" s="32">
        <f>ROUND(Source!U63,2)</f>
        <v>1.12</v>
      </c>
      <c r="J173" s="30"/>
      <c r="K173" s="30"/>
    </row>
    <row r="174" spans="9:24" ht="12.75">
      <c r="I174" s="33">
        <f>ROUND((Source!CT63/IF(Source!BA63&lt;&gt;0,Source!BA63,1)*Source!I63),2)+ROUND((Source!CR63/IF(Source!BB63&lt;&gt;0,Source!BB63,1)*Source!I63),2)+ROUND((Source!CQ63/IF(Source!BC63&lt;&gt;0,Source!BC63,1)*Source!I63),2)+SUM(I170:I172)</f>
        <v>59.61999999999999</v>
      </c>
      <c r="J174" s="34"/>
      <c r="K174" s="33"/>
      <c r="L174">
        <f>ROUND((Source!CT63/IF(Source!BA63&lt;&gt;0,Source!BA63,1)*Source!I63),2)</f>
        <v>14.02</v>
      </c>
      <c r="M174" s="12">
        <f>I174</f>
        <v>59.61999999999999</v>
      </c>
      <c r="N174" s="12">
        <f>K174</f>
        <v>0</v>
      </c>
      <c r="O174">
        <f>ROUND(IF(Source!BI63=1,(ROUND((Source!CT63/IF(Source!BA63&lt;&gt;0,Source!BA63,1)*Source!I63),2)+ROUND((Source!CR63/IF(Source!BB63&lt;&gt;0,Source!BB63,1)*Source!I63),2)+ROUND((Source!CQ63/IF(Source!BC63&lt;&gt;0,Source!BC63,1)*Source!I63),2)+((Source!DN63/100)*ROUND((Source!CT63/IF(Source!BA63&lt;&gt;0,Source!BA63,1)*Source!I63),2))+((Source!DO63/100)*ROUND((Source!CT63/IF(Source!BA63&lt;&gt;0,Source!BA63,1)*Source!I63),2))+(ROUND((Source!CS63/IF(Source!BS63&lt;&gt;0,Source!BS63,1)*Source!I63),2)*1.75)),0),2)</f>
        <v>0</v>
      </c>
      <c r="P174">
        <f>ROUND(IF(Source!BI63=2,(ROUND((Source!CT63/IF(Source!BA63&lt;&gt;0,Source!BA63,1)*Source!I63),2)+ROUND((Source!CR63/IF(Source!BB63&lt;&gt;0,Source!BB63,1)*Source!I63),2)+ROUND((Source!CQ63/IF(Source!BC63&lt;&gt;0,Source!BC63,1)*Source!I63),2)+((Source!DN63/100)*ROUND((Source!CT63/IF(Source!BA63&lt;&gt;0,Source!BA63,1)*Source!I63),2))+((Source!DO63/100)*ROUND((Source!CT63/IF(Source!BA63&lt;&gt;0,Source!BA63,1)*Source!I63),2))+(ROUND((Source!CS63/IF(Source!BS63&lt;&gt;0,Source!BS63,1)*Source!I63),2)*1.75)),0),2)</f>
        <v>59.63</v>
      </c>
      <c r="Q174">
        <f>ROUND(IF(Source!BI63=3,(ROUND((Source!CT63/IF(Source!BA63&lt;&gt;0,Source!BA63,1)*Source!I63),2)+ROUND((Source!CR63/IF(Source!BB63&lt;&gt;0,Source!BB63,1)*Source!I63),2)+ROUND((Source!CQ63/IF(Source!BC63&lt;&gt;0,Source!BC63,1)*Source!I63),2)+((Source!DN63/100)*ROUND((Source!CT63/IF(Source!BA63&lt;&gt;0,Source!BA63,1)*Source!I63),2))+((Source!DO63/100)*ROUND((Source!CT63/IF(Source!BA63&lt;&gt;0,Source!BA63,1)*Source!I63),2))+(ROUND((Source!CS63/IF(Source!BS63&lt;&gt;0,Source!BS63,1)*Source!I63),2)*1.75)),0),2)</f>
        <v>0</v>
      </c>
      <c r="R174">
        <f>ROUND(IF(Source!BI63=4,(ROUND((Source!CT63/IF(Source!BA63&lt;&gt;0,Source!BA63,1)*Source!I63),2)+ROUND((Source!CR63/IF(Source!BB63&lt;&gt;0,Source!BB63,1)*Source!I63),2)+ROUND((Source!CQ63/IF(Source!BC63&lt;&gt;0,Source!BC63,1)*Source!I63),2)+((Source!DN63/100)*ROUND((Source!CT63/IF(Source!BA63&lt;&gt;0,Source!BA63,1)*Source!I63),2))+((Source!DO63/100)*ROUND((Source!CT63/IF(Source!BA63&lt;&gt;0,Source!BA63,1)*Source!I63),2))+(ROUND((Source!CS63/IF(Source!BS63&lt;&gt;0,Source!BS63,1)*Source!I63),2)*1.75)),0),2)</f>
        <v>0</v>
      </c>
      <c r="U174">
        <f>IF(Source!BI63=1,Source!O63+Source!X63+Source!Y63+Source!R63*167/100,0)</f>
        <v>0</v>
      </c>
      <c r="V174">
        <f>IF(Source!BI63=2,Source!O63+Source!X63+Source!Y63+Source!R63*167/100,0)</f>
        <v>535.3054</v>
      </c>
      <c r="W174">
        <f>IF(Source!BI63=3,Source!O63+Source!X63+Source!Y63+Source!R63*167/100,0)</f>
        <v>0</v>
      </c>
      <c r="X174">
        <f>IF(Source!BI63=4,Source!O63+Source!X63+Source!Y63+Source!R63*167/100,0)</f>
        <v>0</v>
      </c>
    </row>
    <row r="175" spans="1:25" ht="72">
      <c r="A175" s="26" t="str">
        <f>Source!E64</f>
        <v>16</v>
      </c>
      <c r="B175" s="26" t="str">
        <f>Source!F64</f>
        <v>4.8-172-1</v>
      </c>
      <c r="C175" s="9" t="str">
        <f>Source!G64</f>
        <v>ТРУБЫ ВИНИПЛАСТОВЫЕ ПО УСТАНОВЛЕННЫМ КОНСТРУКЦИЯМ, ПО СТЕНАМ И КОЛОННАМ С КРЕПЛЕНИЕМ СКОБАМИ, ВНУТРЕННИЙ ДИАМЕТР, ММ, ДО: 25</v>
      </c>
      <c r="D175" s="27" t="str">
        <f>Source!H64</f>
        <v>100 м</v>
      </c>
      <c r="E175" s="8">
        <f>ROUND(Source!I64,6)</f>
        <v>0.17</v>
      </c>
      <c r="F175" s="8"/>
      <c r="G175" s="8"/>
      <c r="H175" s="8"/>
      <c r="I175" s="8"/>
      <c r="J175" s="8"/>
      <c r="K175" s="8"/>
      <c r="Y175">
        <v>16</v>
      </c>
    </row>
    <row r="176" spans="1:11" ht="12.75">
      <c r="A176" s="8"/>
      <c r="B176" s="8"/>
      <c r="C176" s="8" t="s">
        <v>644</v>
      </c>
      <c r="D176" s="8"/>
      <c r="E176" s="8"/>
      <c r="F176" s="11">
        <f>Source!AO64</f>
        <v>255.23</v>
      </c>
      <c r="G176" s="28">
        <f>Source!DG64</f>
      </c>
      <c r="H176" s="8">
        <f>Source!AV64</f>
        <v>1.047</v>
      </c>
      <c r="I176" s="11">
        <f>ROUND((Source!CT64/IF(Source!BA64&lt;&gt;0,Source!BA64,1)*Source!I64),2)</f>
        <v>45.43</v>
      </c>
      <c r="J176" s="8">
        <f>Source!BA64</f>
        <v>13.09</v>
      </c>
      <c r="K176" s="11"/>
    </row>
    <row r="177" spans="1:11" ht="12.75">
      <c r="A177" s="8"/>
      <c r="B177" s="8"/>
      <c r="C177" s="8" t="s">
        <v>645</v>
      </c>
      <c r="D177" s="8"/>
      <c r="E177" s="8"/>
      <c r="F177" s="11">
        <f>Source!AM64</f>
        <v>116.22</v>
      </c>
      <c r="G177" s="28">
        <f>Source!DE64</f>
      </c>
      <c r="H177" s="8">
        <f>Source!AV64</f>
        <v>1.047</v>
      </c>
      <c r="I177" s="11">
        <f>ROUND((Source!CR64/IF(Source!BB64&lt;&gt;0,Source!BB64,1)*Source!I64),2)</f>
        <v>20.69</v>
      </c>
      <c r="J177" s="8">
        <f>Source!BB64</f>
        <v>5.18</v>
      </c>
      <c r="K177" s="11"/>
    </row>
    <row r="178" spans="1:12" ht="12.75">
      <c r="A178" s="8"/>
      <c r="B178" s="8"/>
      <c r="C178" s="8" t="s">
        <v>646</v>
      </c>
      <c r="D178" s="8"/>
      <c r="E178" s="8"/>
      <c r="F178" s="11">
        <f>Source!AN64</f>
        <v>8.59</v>
      </c>
      <c r="G178" s="28">
        <f>Source!DF64</f>
      </c>
      <c r="H178" s="8">
        <f>Source!AV64</f>
        <v>1.047</v>
      </c>
      <c r="I178" s="29" t="str">
        <f>CONCATENATE("(",TEXT(+ROUND((Source!CS64/IF(J178&lt;&gt;0,J178,1)*Source!I64),2),"0,00"),")")</f>
        <v>(1,53)</v>
      </c>
      <c r="J178" s="8">
        <f>Source!BS64</f>
        <v>13.09</v>
      </c>
      <c r="K178" s="29"/>
      <c r="L178">
        <f>ROUND(IF(J178&lt;&gt;0,Source!R64/J178,Source!R64),2)</f>
        <v>1.53</v>
      </c>
    </row>
    <row r="179" spans="1:11" ht="12.75">
      <c r="A179" s="8"/>
      <c r="B179" s="8"/>
      <c r="C179" s="8" t="s">
        <v>655</v>
      </c>
      <c r="D179" s="8"/>
      <c r="E179" s="8"/>
      <c r="F179" s="11">
        <f>Source!AL64</f>
        <v>119</v>
      </c>
      <c r="G179" s="8">
        <f>Source!DD64</f>
      </c>
      <c r="H179" s="8">
        <f>Source!AW64</f>
        <v>1</v>
      </c>
      <c r="I179" s="11">
        <f>ROUND((Source!CQ64/IF(Source!BC64&lt;&gt;0,Source!BC64,1)*Source!I64),2)</f>
        <v>20.23</v>
      </c>
      <c r="J179" s="8">
        <f>Source!BC64</f>
        <v>4.56</v>
      </c>
      <c r="K179" s="11"/>
    </row>
    <row r="180" spans="1:11" ht="12.75">
      <c r="A180" s="8"/>
      <c r="B180" s="8"/>
      <c r="C180" s="8" t="s">
        <v>647</v>
      </c>
      <c r="D180" s="8" t="s">
        <v>648</v>
      </c>
      <c r="E180" s="8">
        <f>Source!DN64</f>
        <v>112</v>
      </c>
      <c r="F180" s="8"/>
      <c r="G180" s="8"/>
      <c r="H180" s="8"/>
      <c r="I180" s="11">
        <f>ROUND((E180/100)*ROUND((Source!CT64/IF(Source!BA64&lt;&gt;0,Source!BA64,1)*Source!I64),2),2)</f>
        <v>50.88</v>
      </c>
      <c r="J180" s="8">
        <f>Source!AT64</f>
        <v>96</v>
      </c>
      <c r="K180" s="11"/>
    </row>
    <row r="181" spans="1:11" ht="12.75">
      <c r="A181" s="8"/>
      <c r="B181" s="8"/>
      <c r="C181" s="8" t="s">
        <v>649</v>
      </c>
      <c r="D181" s="8" t="s">
        <v>648</v>
      </c>
      <c r="E181" s="8">
        <f>Source!DO64</f>
        <v>70</v>
      </c>
      <c r="F181" s="8"/>
      <c r="G181" s="8"/>
      <c r="H181" s="8"/>
      <c r="I181" s="11">
        <f>ROUND((E181/100)*ROUND((Source!CT64/IF(Source!BA64&lt;&gt;0,Source!BA64,1)*Source!I64),2),2)</f>
        <v>31.8</v>
      </c>
      <c r="J181" s="8">
        <f>Source!AU64</f>
        <v>42</v>
      </c>
      <c r="K181" s="11"/>
    </row>
    <row r="182" spans="1:11" ht="12.75">
      <c r="A182" s="8"/>
      <c r="B182" s="8"/>
      <c r="C182" s="8" t="s">
        <v>650</v>
      </c>
      <c r="D182" s="8" t="s">
        <v>648</v>
      </c>
      <c r="E182" s="8">
        <v>175</v>
      </c>
      <c r="F182" s="8"/>
      <c r="G182" s="8"/>
      <c r="H182" s="8"/>
      <c r="I182" s="11">
        <f>ROUND(ROUND((Source!CS64/IF(Source!BS64&lt;&gt;0,Source!BS64,1)*Source!I64),2)*1.75,2)</f>
        <v>2.68</v>
      </c>
      <c r="J182" s="8">
        <v>167</v>
      </c>
      <c r="K182" s="11"/>
    </row>
    <row r="183" spans="1:11" ht="12.75">
      <c r="A183" s="30"/>
      <c r="B183" s="30"/>
      <c r="C183" s="30" t="s">
        <v>651</v>
      </c>
      <c r="D183" s="30" t="s">
        <v>652</v>
      </c>
      <c r="E183" s="30">
        <f>Source!AQ64</f>
        <v>20.7</v>
      </c>
      <c r="F183" s="30"/>
      <c r="G183" s="31">
        <f>Source!DI64</f>
      </c>
      <c r="H183" s="30">
        <f>Source!AV64</f>
        <v>1.047</v>
      </c>
      <c r="I183" s="32">
        <f>ROUND(Source!U64,2)</f>
        <v>3.68</v>
      </c>
      <c r="J183" s="30"/>
      <c r="K183" s="30"/>
    </row>
    <row r="184" spans="9:24" ht="12.75">
      <c r="I184" s="33">
        <f>ROUND((Source!CT64/IF(Source!BA64&lt;&gt;0,Source!BA64,1)*Source!I64),2)+ROUND((Source!CR64/IF(Source!BB64&lt;&gt;0,Source!BB64,1)*Source!I64),2)+ROUND((Source!CQ64/IF(Source!BC64&lt;&gt;0,Source!BC64,1)*Source!I64),2)+SUM(I180:I182)</f>
        <v>171.71000000000004</v>
      </c>
      <c r="J184" s="34"/>
      <c r="K184" s="33"/>
      <c r="L184">
        <f>ROUND((Source!CT64/IF(Source!BA64&lt;&gt;0,Source!BA64,1)*Source!I64),2)</f>
        <v>45.43</v>
      </c>
      <c r="M184" s="12">
        <f>I184</f>
        <v>171.71000000000004</v>
      </c>
      <c r="N184" s="12">
        <f>K184</f>
        <v>0</v>
      </c>
      <c r="O184">
        <f>ROUND(IF(Source!BI64=1,(ROUND((Source!CT64/IF(Source!BA64&lt;&gt;0,Source!BA64,1)*Source!I64),2)+ROUND((Source!CR64/IF(Source!BB64&lt;&gt;0,Source!BB64,1)*Source!I64),2)+ROUND((Source!CQ64/IF(Source!BC64&lt;&gt;0,Source!BC64,1)*Source!I64),2)+((Source!DN64/100)*ROUND((Source!CT64/IF(Source!BA64&lt;&gt;0,Source!BA64,1)*Source!I64),2))+((Source!DO64/100)*ROUND((Source!CT64/IF(Source!BA64&lt;&gt;0,Source!BA64,1)*Source!I64),2))+(ROUND((Source!CS64/IF(Source!BS64&lt;&gt;0,Source!BS64,1)*Source!I64),2)*1.75)),0),2)</f>
        <v>0</v>
      </c>
      <c r="P184">
        <f>ROUND(IF(Source!BI64=2,(ROUND((Source!CT64/IF(Source!BA64&lt;&gt;0,Source!BA64,1)*Source!I64),2)+ROUND((Source!CR64/IF(Source!BB64&lt;&gt;0,Source!BB64,1)*Source!I64),2)+ROUND((Source!CQ64/IF(Source!BC64&lt;&gt;0,Source!BC64,1)*Source!I64),2)+((Source!DN64/100)*ROUND((Source!CT64/IF(Source!BA64&lt;&gt;0,Source!BA64,1)*Source!I64),2))+((Source!DO64/100)*ROUND((Source!CT64/IF(Source!BA64&lt;&gt;0,Source!BA64,1)*Source!I64),2))+(ROUND((Source!CS64/IF(Source!BS64&lt;&gt;0,Source!BS64,1)*Source!I64),2)*1.75)),0),2)</f>
        <v>171.71</v>
      </c>
      <c r="Q184">
        <f>ROUND(IF(Source!BI64=3,(ROUND((Source!CT64/IF(Source!BA64&lt;&gt;0,Source!BA64,1)*Source!I64),2)+ROUND((Source!CR64/IF(Source!BB64&lt;&gt;0,Source!BB64,1)*Source!I64),2)+ROUND((Source!CQ64/IF(Source!BC64&lt;&gt;0,Source!BC64,1)*Source!I64),2)+((Source!DN64/100)*ROUND((Source!CT64/IF(Source!BA64&lt;&gt;0,Source!BA64,1)*Source!I64),2))+((Source!DO64/100)*ROUND((Source!CT64/IF(Source!BA64&lt;&gt;0,Source!BA64,1)*Source!I64),2))+(ROUND((Source!CS64/IF(Source!BS64&lt;&gt;0,Source!BS64,1)*Source!I64),2)*1.75)),0),2)</f>
        <v>0</v>
      </c>
      <c r="R184">
        <f>ROUND(IF(Source!BI64=4,(ROUND((Source!CT64/IF(Source!BA64&lt;&gt;0,Source!BA64,1)*Source!I64),2)+ROUND((Source!CR64/IF(Source!BB64&lt;&gt;0,Source!BB64,1)*Source!I64),2)+ROUND((Source!CQ64/IF(Source!BC64&lt;&gt;0,Source!BC64,1)*Source!I64),2)+((Source!DN64/100)*ROUND((Source!CT64/IF(Source!BA64&lt;&gt;0,Source!BA64,1)*Source!I64),2))+((Source!DO64/100)*ROUND((Source!CT64/IF(Source!BA64&lt;&gt;0,Source!BA64,1)*Source!I64),2))+(ROUND((Source!CS64/IF(Source!BS64&lt;&gt;0,Source!BS64,1)*Source!I64),2)*1.75)),0),2)</f>
        <v>0</v>
      </c>
      <c r="U184">
        <f>IF(Source!BI64=1,Source!O64+Source!X64+Source!Y64+Source!R64*167/100,0)</f>
        <v>0</v>
      </c>
      <c r="V184">
        <f>IF(Source!BI64=2,Source!O64+Source!X64+Source!Y64+Source!R64*167/100,0)</f>
        <v>1648.1066999999998</v>
      </c>
      <c r="W184">
        <f>IF(Source!BI64=3,Source!O64+Source!X64+Source!Y64+Source!R64*167/100,0)</f>
        <v>0</v>
      </c>
      <c r="X184">
        <f>IF(Source!BI64=4,Source!O64+Source!X64+Source!Y64+Source!R64*167/100,0)</f>
        <v>0</v>
      </c>
    </row>
    <row r="185" spans="1:25" ht="96">
      <c r="A185" s="26" t="str">
        <f>Source!E65</f>
        <v>17</v>
      </c>
      <c r="B185" s="26" t="str">
        <f>Source!F65</f>
        <v>4.8-175-2</v>
      </c>
      <c r="C185" s="9" t="str">
        <f>Source!G65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6 ММ2</v>
      </c>
      <c r="D185" s="27" t="str">
        <f>Source!H65</f>
        <v>100 м</v>
      </c>
      <c r="E185" s="8">
        <f>ROUND(Source!I65,6)</f>
        <v>0.08</v>
      </c>
      <c r="F185" s="8"/>
      <c r="G185" s="8"/>
      <c r="H185" s="8"/>
      <c r="I185" s="8"/>
      <c r="J185" s="8"/>
      <c r="K185" s="8"/>
      <c r="Y185">
        <v>17</v>
      </c>
    </row>
    <row r="186" spans="1:11" ht="12.75">
      <c r="A186" s="8"/>
      <c r="B186" s="8"/>
      <c r="C186" s="8" t="s">
        <v>644</v>
      </c>
      <c r="D186" s="8"/>
      <c r="E186" s="8"/>
      <c r="F186" s="11">
        <f>Source!AO65</f>
        <v>76.2</v>
      </c>
      <c r="G186" s="28">
        <f>Source!DG65</f>
      </c>
      <c r="H186" s="8">
        <f>Source!AV65</f>
        <v>1.047</v>
      </c>
      <c r="I186" s="11">
        <f>ROUND((Source!CT65/IF(Source!BA65&lt;&gt;0,Source!BA65,1)*Source!I65),2)</f>
        <v>6.38</v>
      </c>
      <c r="J186" s="8">
        <f>Source!BA65</f>
        <v>13.09</v>
      </c>
      <c r="K186" s="11"/>
    </row>
    <row r="187" spans="1:11" ht="12.75">
      <c r="A187" s="8"/>
      <c r="B187" s="8"/>
      <c r="C187" s="8" t="s">
        <v>645</v>
      </c>
      <c r="D187" s="8"/>
      <c r="E187" s="8"/>
      <c r="F187" s="11">
        <f>Source!AM65</f>
        <v>1.69</v>
      </c>
      <c r="G187" s="28">
        <f>Source!DE65</f>
      </c>
      <c r="H187" s="8">
        <f>Source!AV65</f>
        <v>1.047</v>
      </c>
      <c r="I187" s="11">
        <f>ROUND((Source!CR65/IF(Source!BB65&lt;&gt;0,Source!BB65,1)*Source!I65),2)</f>
        <v>0.14</v>
      </c>
      <c r="J187" s="8">
        <f>Source!BB65</f>
        <v>7.68</v>
      </c>
      <c r="K187" s="11"/>
    </row>
    <row r="188" spans="1:12" ht="12.75">
      <c r="A188" s="8"/>
      <c r="B188" s="8"/>
      <c r="C188" s="8" t="s">
        <v>646</v>
      </c>
      <c r="D188" s="8"/>
      <c r="E188" s="8"/>
      <c r="F188" s="11">
        <f>Source!AN65</f>
        <v>0.39</v>
      </c>
      <c r="G188" s="28">
        <f>Source!DF65</f>
      </c>
      <c r="H188" s="8">
        <f>Source!AV65</f>
        <v>1.047</v>
      </c>
      <c r="I188" s="29" t="str">
        <f>CONCATENATE("(",TEXT(+ROUND((Source!CS65/IF(J188&lt;&gt;0,J188,1)*Source!I65),2),"0,00"),")")</f>
        <v>(0,03)</v>
      </c>
      <c r="J188" s="8">
        <f>Source!BS65</f>
        <v>13.09</v>
      </c>
      <c r="K188" s="29"/>
      <c r="L188">
        <f>ROUND(IF(J188&lt;&gt;0,Source!R65/J188,Source!R65),2)</f>
        <v>0.03</v>
      </c>
    </row>
    <row r="189" spans="1:11" ht="12.75">
      <c r="A189" s="8"/>
      <c r="B189" s="8"/>
      <c r="C189" s="8" t="s">
        <v>655</v>
      </c>
      <c r="D189" s="8"/>
      <c r="E189" s="8"/>
      <c r="F189" s="11">
        <f>Source!AL65</f>
        <v>9.94</v>
      </c>
      <c r="G189" s="8">
        <f>Source!DD65</f>
      </c>
      <c r="H189" s="8">
        <f>Source!AW65</f>
        <v>1</v>
      </c>
      <c r="I189" s="11">
        <f>ROUND((Source!CQ65/IF(Source!BC65&lt;&gt;0,Source!BC65,1)*Source!I65),2)</f>
        <v>0.8</v>
      </c>
      <c r="J189" s="8">
        <f>Source!BC65</f>
        <v>4.32</v>
      </c>
      <c r="K189" s="11"/>
    </row>
    <row r="190" spans="1:11" ht="12.75">
      <c r="A190" s="8"/>
      <c r="B190" s="8"/>
      <c r="C190" s="8" t="s">
        <v>647</v>
      </c>
      <c r="D190" s="8" t="s">
        <v>648</v>
      </c>
      <c r="E190" s="8">
        <f>Source!DN65</f>
        <v>112</v>
      </c>
      <c r="F190" s="8"/>
      <c r="G190" s="8"/>
      <c r="H190" s="8"/>
      <c r="I190" s="11">
        <f>ROUND((E190/100)*ROUND((Source!CT65/IF(Source!BA65&lt;&gt;0,Source!BA65,1)*Source!I65),2),2)</f>
        <v>7.15</v>
      </c>
      <c r="J190" s="8">
        <f>Source!AT65</f>
        <v>96</v>
      </c>
      <c r="K190" s="11"/>
    </row>
    <row r="191" spans="1:11" ht="12.75">
      <c r="A191" s="8"/>
      <c r="B191" s="8"/>
      <c r="C191" s="8" t="s">
        <v>649</v>
      </c>
      <c r="D191" s="8" t="s">
        <v>648</v>
      </c>
      <c r="E191" s="8">
        <f>Source!DO65</f>
        <v>70</v>
      </c>
      <c r="F191" s="8"/>
      <c r="G191" s="8"/>
      <c r="H191" s="8"/>
      <c r="I191" s="11">
        <f>ROUND((E191/100)*ROUND((Source!CT65/IF(Source!BA65&lt;&gt;0,Source!BA65,1)*Source!I65),2),2)</f>
        <v>4.47</v>
      </c>
      <c r="J191" s="8">
        <f>Source!AU65</f>
        <v>42</v>
      </c>
      <c r="K191" s="11"/>
    </row>
    <row r="192" spans="1:11" ht="12.75">
      <c r="A192" s="8"/>
      <c r="B192" s="8"/>
      <c r="C192" s="8" t="s">
        <v>650</v>
      </c>
      <c r="D192" s="8" t="s">
        <v>648</v>
      </c>
      <c r="E192" s="8">
        <v>175</v>
      </c>
      <c r="F192" s="8"/>
      <c r="G192" s="8"/>
      <c r="H192" s="8"/>
      <c r="I192" s="11">
        <f>ROUND(ROUND((Source!CS65/IF(Source!BS65&lt;&gt;0,Source!BS65,1)*Source!I65),2)*1.75,2)</f>
        <v>0.05</v>
      </c>
      <c r="J192" s="8">
        <v>167</v>
      </c>
      <c r="K192" s="11"/>
    </row>
    <row r="193" spans="1:11" ht="12.75">
      <c r="A193" s="30"/>
      <c r="B193" s="30"/>
      <c r="C193" s="30" t="s">
        <v>651</v>
      </c>
      <c r="D193" s="30" t="s">
        <v>652</v>
      </c>
      <c r="E193" s="30">
        <f>Source!AQ65</f>
        <v>6.18</v>
      </c>
      <c r="F193" s="30"/>
      <c r="G193" s="31">
        <f>Source!DI65</f>
      </c>
      <c r="H193" s="30">
        <f>Source!AV65</f>
        <v>1.047</v>
      </c>
      <c r="I193" s="32">
        <f>ROUND(Source!U65,2)</f>
        <v>0.52</v>
      </c>
      <c r="J193" s="30"/>
      <c r="K193" s="30"/>
    </row>
    <row r="194" spans="9:24" ht="12.75">
      <c r="I194" s="33">
        <f>ROUND((Source!CT65/IF(Source!BA65&lt;&gt;0,Source!BA65,1)*Source!I65),2)+ROUND((Source!CR65/IF(Source!BB65&lt;&gt;0,Source!BB65,1)*Source!I65),2)+ROUND((Source!CQ65/IF(Source!BC65&lt;&gt;0,Source!BC65,1)*Source!I65),2)+SUM(I190:I192)</f>
        <v>18.990000000000002</v>
      </c>
      <c r="J194" s="34"/>
      <c r="K194" s="33"/>
      <c r="L194">
        <f>ROUND((Source!CT65/IF(Source!BA65&lt;&gt;0,Source!BA65,1)*Source!I65),2)</f>
        <v>6.38</v>
      </c>
      <c r="M194" s="12">
        <f>I194</f>
        <v>18.990000000000002</v>
      </c>
      <c r="N194" s="12">
        <f>K194</f>
        <v>0</v>
      </c>
      <c r="O194">
        <f>ROUND(IF(Source!BI65=1,(ROUND((Source!CT65/IF(Source!BA65&lt;&gt;0,Source!BA65,1)*Source!I65),2)+ROUND((Source!CR65/IF(Source!BB65&lt;&gt;0,Source!BB65,1)*Source!I65),2)+ROUND((Source!CQ65/IF(Source!BC65&lt;&gt;0,Source!BC65,1)*Source!I65),2)+((Source!DN65/100)*ROUND((Source!CT65/IF(Source!BA65&lt;&gt;0,Source!BA65,1)*Source!I65),2))+((Source!DO65/100)*ROUND((Source!CT65/IF(Source!BA65&lt;&gt;0,Source!BA65,1)*Source!I65),2))+(ROUND((Source!CS65/IF(Source!BS65&lt;&gt;0,Source!BS65,1)*Source!I65),2)*1.75)),0),2)</f>
        <v>0</v>
      </c>
      <c r="P194">
        <f>ROUND(IF(Source!BI65=2,(ROUND((Source!CT65/IF(Source!BA65&lt;&gt;0,Source!BA65,1)*Source!I65),2)+ROUND((Source!CR65/IF(Source!BB65&lt;&gt;0,Source!BB65,1)*Source!I65),2)+ROUND((Source!CQ65/IF(Source!BC65&lt;&gt;0,Source!BC65,1)*Source!I65),2)+((Source!DN65/100)*ROUND((Source!CT65/IF(Source!BA65&lt;&gt;0,Source!BA65,1)*Source!I65),2))+((Source!DO65/100)*ROUND((Source!CT65/IF(Source!BA65&lt;&gt;0,Source!BA65,1)*Source!I65),2))+(ROUND((Source!CS65/IF(Source!BS65&lt;&gt;0,Source!BS65,1)*Source!I65),2)*1.75)),0),2)</f>
        <v>18.98</v>
      </c>
      <c r="Q194">
        <f>ROUND(IF(Source!BI65=3,(ROUND((Source!CT65/IF(Source!BA65&lt;&gt;0,Source!BA65,1)*Source!I65),2)+ROUND((Source!CR65/IF(Source!BB65&lt;&gt;0,Source!BB65,1)*Source!I65),2)+ROUND((Source!CQ65/IF(Source!BC65&lt;&gt;0,Source!BC65,1)*Source!I65),2)+((Source!DN65/100)*ROUND((Source!CT65/IF(Source!BA65&lt;&gt;0,Source!BA65,1)*Source!I65),2))+((Source!DO65/100)*ROUND((Source!CT65/IF(Source!BA65&lt;&gt;0,Source!BA65,1)*Source!I65),2))+(ROUND((Source!CS65/IF(Source!BS65&lt;&gt;0,Source!BS65,1)*Source!I65),2)*1.75)),0),2)</f>
        <v>0</v>
      </c>
      <c r="R194">
        <f>ROUND(IF(Source!BI65=4,(ROUND((Source!CT65/IF(Source!BA65&lt;&gt;0,Source!BA65,1)*Source!I65),2)+ROUND((Source!CR65/IF(Source!BB65&lt;&gt;0,Source!BB65,1)*Source!I65),2)+ROUND((Source!CQ65/IF(Source!BC65&lt;&gt;0,Source!BC65,1)*Source!I65),2)+((Source!DN65/100)*ROUND((Source!CT65/IF(Source!BA65&lt;&gt;0,Source!BA65,1)*Source!I65),2))+((Source!DO65/100)*ROUND((Source!CT65/IF(Source!BA65&lt;&gt;0,Source!BA65,1)*Source!I65),2))+(ROUND((Source!CS65/IF(Source!BS65&lt;&gt;0,Source!BS65,1)*Source!I65),2)*1.75)),0),2)</f>
        <v>0</v>
      </c>
      <c r="U194">
        <f>IF(Source!BI65=1,Source!O65+Source!X65+Source!Y65+Source!R65*167/100,0)</f>
        <v>0</v>
      </c>
      <c r="V194">
        <f>IF(Source!BI65=2,Source!O65+Source!X65+Source!Y65+Source!R65*167/100,0)</f>
        <v>204.0981</v>
      </c>
      <c r="W194">
        <f>IF(Source!BI65=3,Source!O65+Source!X65+Source!Y65+Source!R65*167/100,0)</f>
        <v>0</v>
      </c>
      <c r="X194">
        <f>IF(Source!BI65=4,Source!O65+Source!X65+Source!Y65+Source!R65*167/100,0)</f>
        <v>0</v>
      </c>
    </row>
    <row r="195" spans="1:25" ht="48">
      <c r="A195" s="26" t="str">
        <f>Source!E66</f>
        <v>18</v>
      </c>
      <c r="B195" s="26" t="str">
        <f>Source!F66</f>
        <v>4.8-80-1</v>
      </c>
      <c r="C195" s="9" t="str">
        <f>Source!G66</f>
        <v>КАБЕЛИ ДО 35 КВ В ПРОЛОЖЕННЫХ ТРУБАХ, БЛОКАХ И КОРОБАХ, КАБЕЛЬ, МАССА 1 М: ДО 1 КГ</v>
      </c>
      <c r="D195" s="27" t="str">
        <f>Source!H66</f>
        <v>100 м</v>
      </c>
      <c r="E195" s="8">
        <f>ROUND(Source!I66,6)</f>
        <v>0.16</v>
      </c>
      <c r="F195" s="8"/>
      <c r="G195" s="8"/>
      <c r="H195" s="8"/>
      <c r="I195" s="8"/>
      <c r="J195" s="8"/>
      <c r="K195" s="8"/>
      <c r="Y195">
        <v>18</v>
      </c>
    </row>
    <row r="196" spans="1:11" ht="12.75">
      <c r="A196" s="8"/>
      <c r="B196" s="8"/>
      <c r="C196" s="8" t="s">
        <v>644</v>
      </c>
      <c r="D196" s="8"/>
      <c r="E196" s="8"/>
      <c r="F196" s="11">
        <f>Source!AO66</f>
        <v>131.93</v>
      </c>
      <c r="G196" s="28">
        <f>Source!DG66</f>
      </c>
      <c r="H196" s="8">
        <f>Source!AV66</f>
        <v>1.067</v>
      </c>
      <c r="I196" s="11">
        <f>ROUND((Source!CT66/IF(Source!BA66&lt;&gt;0,Source!BA66,1)*Source!I66),2)</f>
        <v>22.52</v>
      </c>
      <c r="J196" s="8">
        <f>Source!BA66</f>
        <v>13.09</v>
      </c>
      <c r="K196" s="11"/>
    </row>
    <row r="197" spans="1:11" ht="12.75">
      <c r="A197" s="8"/>
      <c r="B197" s="8"/>
      <c r="C197" s="8" t="s">
        <v>645</v>
      </c>
      <c r="D197" s="8"/>
      <c r="E197" s="8"/>
      <c r="F197" s="11">
        <f>Source!AM66</f>
        <v>31.63</v>
      </c>
      <c r="G197" s="28">
        <f>Source!DE66</f>
      </c>
      <c r="H197" s="8">
        <f>Source!AV66</f>
        <v>1.067</v>
      </c>
      <c r="I197" s="11">
        <f>ROUND((Source!CR66/IF(Source!BB66&lt;&gt;0,Source!BB66,1)*Source!I66),2)</f>
        <v>5.4</v>
      </c>
      <c r="J197" s="8">
        <f>Source!BB66</f>
        <v>7.52</v>
      </c>
      <c r="K197" s="11"/>
    </row>
    <row r="198" spans="1:12" ht="12.75">
      <c r="A198" s="8"/>
      <c r="B198" s="8"/>
      <c r="C198" s="8" t="s">
        <v>646</v>
      </c>
      <c r="D198" s="8"/>
      <c r="E198" s="8"/>
      <c r="F198" s="11">
        <f>Source!AN66</f>
        <v>7.11</v>
      </c>
      <c r="G198" s="28">
        <f>Source!DF66</f>
      </c>
      <c r="H198" s="8">
        <f>Source!AV66</f>
        <v>1.067</v>
      </c>
      <c r="I198" s="29" t="str">
        <f>CONCATENATE("(",TEXT(+ROUND((Source!CS66/IF(J198&lt;&gt;0,J198,1)*Source!I66),2),"0,00"),")")</f>
        <v>(1,21)</v>
      </c>
      <c r="J198" s="8">
        <f>Source!BS66</f>
        <v>13.09</v>
      </c>
      <c r="K198" s="29"/>
      <c r="L198">
        <f>ROUND(IF(J198&lt;&gt;0,Source!R66/J198,Source!R66),2)</f>
        <v>1.21</v>
      </c>
    </row>
    <row r="199" spans="1:11" ht="12.75">
      <c r="A199" s="8"/>
      <c r="B199" s="8"/>
      <c r="C199" s="8" t="s">
        <v>655</v>
      </c>
      <c r="D199" s="8"/>
      <c r="E199" s="8"/>
      <c r="F199" s="11">
        <f>Source!AL66</f>
        <v>35.14</v>
      </c>
      <c r="G199" s="8">
        <f>Source!DD66</f>
      </c>
      <c r="H199" s="8">
        <f>Source!AW66</f>
        <v>1.081</v>
      </c>
      <c r="I199" s="11">
        <f>ROUND((Source!CQ66/IF(Source!BC66&lt;&gt;0,Source!BC66,1)*Source!I66),2)</f>
        <v>6.08</v>
      </c>
      <c r="J199" s="8">
        <f>Source!BC66</f>
        <v>4.56</v>
      </c>
      <c r="K199" s="11"/>
    </row>
    <row r="200" spans="1:11" ht="12.75">
      <c r="A200" s="8"/>
      <c r="B200" s="8"/>
      <c r="C200" s="8" t="s">
        <v>647</v>
      </c>
      <c r="D200" s="8" t="s">
        <v>648</v>
      </c>
      <c r="E200" s="8">
        <f>Source!DN66</f>
        <v>112</v>
      </c>
      <c r="F200" s="8"/>
      <c r="G200" s="8"/>
      <c r="H200" s="8"/>
      <c r="I200" s="11">
        <f>ROUND((E200/100)*ROUND((Source!CT66/IF(Source!BA66&lt;&gt;0,Source!BA66,1)*Source!I66),2),2)</f>
        <v>25.22</v>
      </c>
      <c r="J200" s="8">
        <f>Source!AT66</f>
        <v>96</v>
      </c>
      <c r="K200" s="11"/>
    </row>
    <row r="201" spans="1:11" ht="12.75">
      <c r="A201" s="8"/>
      <c r="B201" s="8"/>
      <c r="C201" s="8" t="s">
        <v>649</v>
      </c>
      <c r="D201" s="8" t="s">
        <v>648</v>
      </c>
      <c r="E201" s="8">
        <f>Source!DO66</f>
        <v>70</v>
      </c>
      <c r="F201" s="8"/>
      <c r="G201" s="8"/>
      <c r="H201" s="8"/>
      <c r="I201" s="11">
        <f>ROUND((E201/100)*ROUND((Source!CT66/IF(Source!BA66&lt;&gt;0,Source!BA66,1)*Source!I66),2),2)</f>
        <v>15.76</v>
      </c>
      <c r="J201" s="8">
        <f>Source!AU66</f>
        <v>42</v>
      </c>
      <c r="K201" s="11"/>
    </row>
    <row r="202" spans="1:11" ht="12.75">
      <c r="A202" s="8"/>
      <c r="B202" s="8"/>
      <c r="C202" s="8" t="s">
        <v>650</v>
      </c>
      <c r="D202" s="8" t="s">
        <v>648</v>
      </c>
      <c r="E202" s="8">
        <v>175</v>
      </c>
      <c r="F202" s="8"/>
      <c r="G202" s="8"/>
      <c r="H202" s="8"/>
      <c r="I202" s="11">
        <f>ROUND(ROUND((Source!CS66/IF(Source!BS66&lt;&gt;0,Source!BS66,1)*Source!I66),2)*1.75,2)</f>
        <v>2.12</v>
      </c>
      <c r="J202" s="8">
        <v>167</v>
      </c>
      <c r="K202" s="11"/>
    </row>
    <row r="203" spans="1:11" ht="12.75">
      <c r="A203" s="30"/>
      <c r="B203" s="30"/>
      <c r="C203" s="30" t="s">
        <v>651</v>
      </c>
      <c r="D203" s="30" t="s">
        <v>652</v>
      </c>
      <c r="E203" s="30">
        <f>Source!AQ66</f>
        <v>10.7</v>
      </c>
      <c r="F203" s="30"/>
      <c r="G203" s="31">
        <f>Source!DI66</f>
      </c>
      <c r="H203" s="30">
        <f>Source!AV66</f>
        <v>1.067</v>
      </c>
      <c r="I203" s="32">
        <f>ROUND(Source!U66,2)</f>
        <v>1.83</v>
      </c>
      <c r="J203" s="30"/>
      <c r="K203" s="30"/>
    </row>
    <row r="204" spans="9:24" ht="12.75">
      <c r="I204" s="33">
        <f>ROUND((Source!CT66/IF(Source!BA66&lt;&gt;0,Source!BA66,1)*Source!I66),2)+ROUND((Source!CR66/IF(Source!BB66&lt;&gt;0,Source!BB66,1)*Source!I66),2)+ROUND((Source!CQ66/IF(Source!BC66&lt;&gt;0,Source!BC66,1)*Source!I66),2)+SUM(I200:I202)</f>
        <v>77.1</v>
      </c>
      <c r="J204" s="34"/>
      <c r="K204" s="33"/>
      <c r="L204">
        <f>ROUND((Source!CT66/IF(Source!BA66&lt;&gt;0,Source!BA66,1)*Source!I66),2)</f>
        <v>22.52</v>
      </c>
      <c r="M204" s="12">
        <f>I204</f>
        <v>77.1</v>
      </c>
      <c r="N204" s="12">
        <f>K204</f>
        <v>0</v>
      </c>
      <c r="O204">
        <f>ROUND(IF(Source!BI66=1,(ROUND((Source!CT66/IF(Source!BA66&lt;&gt;0,Source!BA66,1)*Source!I66),2)+ROUND((Source!CR66/IF(Source!BB66&lt;&gt;0,Source!BB66,1)*Source!I66),2)+ROUND((Source!CQ66/IF(Source!BC66&lt;&gt;0,Source!BC66,1)*Source!I66),2)+((Source!DN66/100)*ROUND((Source!CT66/IF(Source!BA66&lt;&gt;0,Source!BA66,1)*Source!I66),2))+((Source!DO66/100)*ROUND((Source!CT66/IF(Source!BA66&lt;&gt;0,Source!BA66,1)*Source!I66),2))+(ROUND((Source!CS66/IF(Source!BS66&lt;&gt;0,Source!BS66,1)*Source!I66),2)*1.75)),0),2)</f>
        <v>0</v>
      </c>
      <c r="P204">
        <f>ROUND(IF(Source!BI66=2,(ROUND((Source!CT66/IF(Source!BA66&lt;&gt;0,Source!BA66,1)*Source!I66),2)+ROUND((Source!CR66/IF(Source!BB66&lt;&gt;0,Source!BB66,1)*Source!I66),2)+ROUND((Source!CQ66/IF(Source!BC66&lt;&gt;0,Source!BC66,1)*Source!I66),2)+((Source!DN66/100)*ROUND((Source!CT66/IF(Source!BA66&lt;&gt;0,Source!BA66,1)*Source!I66),2))+((Source!DO66/100)*ROUND((Source!CT66/IF(Source!BA66&lt;&gt;0,Source!BA66,1)*Source!I66),2))+(ROUND((Source!CS66/IF(Source!BS66&lt;&gt;0,Source!BS66,1)*Source!I66),2)*1.75)),0),2)</f>
        <v>77.1</v>
      </c>
      <c r="Q204">
        <f>ROUND(IF(Source!BI66=3,(ROUND((Source!CT66/IF(Source!BA66&lt;&gt;0,Source!BA66,1)*Source!I66),2)+ROUND((Source!CR66/IF(Source!BB66&lt;&gt;0,Source!BB66,1)*Source!I66),2)+ROUND((Source!CQ66/IF(Source!BC66&lt;&gt;0,Source!BC66,1)*Source!I66),2)+((Source!DN66/100)*ROUND((Source!CT66/IF(Source!BA66&lt;&gt;0,Source!BA66,1)*Source!I66),2))+((Source!DO66/100)*ROUND((Source!CT66/IF(Source!BA66&lt;&gt;0,Source!BA66,1)*Source!I66),2))+(ROUND((Source!CS66/IF(Source!BS66&lt;&gt;0,Source!BS66,1)*Source!I66),2)*1.75)),0),2)</f>
        <v>0</v>
      </c>
      <c r="R204">
        <f>ROUND(IF(Source!BI66=4,(ROUND((Source!CT66/IF(Source!BA66&lt;&gt;0,Source!BA66,1)*Source!I66),2)+ROUND((Source!CR66/IF(Source!BB66&lt;&gt;0,Source!BB66,1)*Source!I66),2)+ROUND((Source!CQ66/IF(Source!BC66&lt;&gt;0,Source!BC66,1)*Source!I66),2)+((Source!DN66/100)*ROUND((Source!CT66/IF(Source!BA66&lt;&gt;0,Source!BA66,1)*Source!I66),2))+((Source!DO66/100)*ROUND((Source!CT66/IF(Source!BA66&lt;&gt;0,Source!BA66,1)*Source!I66),2))+(ROUND((Source!CS66/IF(Source!BS66&lt;&gt;0,Source!BS66,1)*Source!I66),2)*1.75)),0),2)</f>
        <v>0</v>
      </c>
      <c r="U204">
        <f>IF(Source!BI66=1,Source!O66+Source!X66+Source!Y66+Source!R66*167/100,0)</f>
        <v>0</v>
      </c>
      <c r="V204">
        <f>IF(Source!BI66=2,Source!O66+Source!X66+Source!Y66+Source!R66*167/100,0)</f>
        <v>796.5563000000001</v>
      </c>
      <c r="W204">
        <f>IF(Source!BI66=3,Source!O66+Source!X66+Source!Y66+Source!R66*167/100,0)</f>
        <v>0</v>
      </c>
      <c r="X204">
        <f>IF(Source!BI66=4,Source!O66+Source!X66+Source!Y66+Source!R66*167/100,0)</f>
        <v>0</v>
      </c>
    </row>
    <row r="205" spans="1:25" ht="72">
      <c r="A205" s="26" t="str">
        <f>Source!E67</f>
        <v>19</v>
      </c>
      <c r="B205" s="26" t="str">
        <f>Source!F67</f>
        <v>4.8-79-10</v>
      </c>
      <c r="C205" s="9" t="str">
        <f>Source!G67</f>
        <v>КАБЕЛИ ДО 35 КВ, ПРОКЛАДЫВАЕМЫЕ ПО УСТАНОВЛЕННЫМ КОНСТРУКЦИЯМ И ЛОТКАМ, КАБЕЛЬ С КРЕПЛЕНИЕМ ПО ВСЕЙ ДЛИНЕ, МАССА 1 М: ДО 1 КГ</v>
      </c>
      <c r="D205" s="27" t="str">
        <f>Source!H67</f>
        <v>100 м</v>
      </c>
      <c r="E205" s="8">
        <f>ROUND(Source!I67,6)</f>
        <v>0.89</v>
      </c>
      <c r="F205" s="8"/>
      <c r="G205" s="8"/>
      <c r="H205" s="8"/>
      <c r="I205" s="8"/>
      <c r="J205" s="8"/>
      <c r="K205" s="8"/>
      <c r="Y205">
        <v>19</v>
      </c>
    </row>
    <row r="206" spans="1:11" ht="12.75">
      <c r="A206" s="8"/>
      <c r="B206" s="8"/>
      <c r="C206" s="8" t="s">
        <v>644</v>
      </c>
      <c r="D206" s="8"/>
      <c r="E206" s="8"/>
      <c r="F206" s="11">
        <f>Source!AO67</f>
        <v>187.42</v>
      </c>
      <c r="G206" s="28">
        <f>Source!DG67</f>
      </c>
      <c r="H206" s="8">
        <f>Source!AV67</f>
        <v>1.067</v>
      </c>
      <c r="I206" s="11">
        <f>ROUND((Source!CT67/IF(Source!BA67&lt;&gt;0,Source!BA67,1)*Source!I67),2)</f>
        <v>177.98</v>
      </c>
      <c r="J206" s="8">
        <f>Source!BA67</f>
        <v>13.09</v>
      </c>
      <c r="K206" s="11"/>
    </row>
    <row r="207" spans="1:11" ht="12.75">
      <c r="A207" s="8"/>
      <c r="B207" s="8"/>
      <c r="C207" s="8" t="s">
        <v>645</v>
      </c>
      <c r="D207" s="8"/>
      <c r="E207" s="8"/>
      <c r="F207" s="11">
        <f>Source!AM67</f>
        <v>418.64</v>
      </c>
      <c r="G207" s="28">
        <f>Source!DE67</f>
      </c>
      <c r="H207" s="8">
        <f>Source!AV67</f>
        <v>1.067</v>
      </c>
      <c r="I207" s="11">
        <f>ROUND((Source!CR67/IF(Source!BB67&lt;&gt;0,Source!BB67,1)*Source!I67),2)</f>
        <v>397.55</v>
      </c>
      <c r="J207" s="8">
        <f>Source!BB67</f>
        <v>3.81</v>
      </c>
      <c r="K207" s="11"/>
    </row>
    <row r="208" spans="1:12" ht="12.75">
      <c r="A208" s="8"/>
      <c r="B208" s="8"/>
      <c r="C208" s="8" t="s">
        <v>646</v>
      </c>
      <c r="D208" s="8"/>
      <c r="E208" s="8"/>
      <c r="F208" s="11">
        <f>Source!AN67</f>
        <v>66.08</v>
      </c>
      <c r="G208" s="28">
        <f>Source!DF67</f>
      </c>
      <c r="H208" s="8">
        <f>Source!AV67</f>
        <v>1.067</v>
      </c>
      <c r="I208" s="29" t="str">
        <f>CONCATENATE("(",TEXT(+ROUND((Source!CS67/IF(J208&lt;&gt;0,J208,1)*Source!I67),2),"0,00"),")")</f>
        <v>(62,75)</v>
      </c>
      <c r="J208" s="8">
        <f>Source!BS67</f>
        <v>13.09</v>
      </c>
      <c r="K208" s="29"/>
      <c r="L208">
        <f>ROUND(IF(J208&lt;&gt;0,Source!R67/J208,Source!R67),2)</f>
        <v>62.75</v>
      </c>
    </row>
    <row r="209" spans="1:11" ht="12.75">
      <c r="A209" s="8"/>
      <c r="B209" s="8"/>
      <c r="C209" s="8" t="s">
        <v>655</v>
      </c>
      <c r="D209" s="8"/>
      <c r="E209" s="8"/>
      <c r="F209" s="11">
        <f>Source!AL67</f>
        <v>37.66</v>
      </c>
      <c r="G209" s="8">
        <f>Source!DD67</f>
      </c>
      <c r="H209" s="8">
        <f>Source!AW67</f>
        <v>1.081</v>
      </c>
      <c r="I209" s="11">
        <f>ROUND((Source!CQ67/IF(Source!BC67&lt;&gt;0,Source!BC67,1)*Source!I67),2)</f>
        <v>36.23</v>
      </c>
      <c r="J209" s="8">
        <f>Source!BC67</f>
        <v>4.56</v>
      </c>
      <c r="K209" s="11"/>
    </row>
    <row r="210" spans="1:11" ht="12.75">
      <c r="A210" s="8"/>
      <c r="B210" s="8"/>
      <c r="C210" s="8" t="s">
        <v>647</v>
      </c>
      <c r="D210" s="8" t="s">
        <v>648</v>
      </c>
      <c r="E210" s="8">
        <f>Source!DN67</f>
        <v>112</v>
      </c>
      <c r="F210" s="8"/>
      <c r="G210" s="8"/>
      <c r="H210" s="8"/>
      <c r="I210" s="11">
        <f>ROUND((E210/100)*ROUND((Source!CT67/IF(Source!BA67&lt;&gt;0,Source!BA67,1)*Source!I67),2),2)</f>
        <v>199.34</v>
      </c>
      <c r="J210" s="8">
        <f>Source!AT67</f>
        <v>96</v>
      </c>
      <c r="K210" s="11"/>
    </row>
    <row r="211" spans="1:11" ht="12.75">
      <c r="A211" s="8"/>
      <c r="B211" s="8"/>
      <c r="C211" s="8" t="s">
        <v>649</v>
      </c>
      <c r="D211" s="8" t="s">
        <v>648</v>
      </c>
      <c r="E211" s="8">
        <f>Source!DO67</f>
        <v>70</v>
      </c>
      <c r="F211" s="8"/>
      <c r="G211" s="8"/>
      <c r="H211" s="8"/>
      <c r="I211" s="11">
        <f>ROUND((E211/100)*ROUND((Source!CT67/IF(Source!BA67&lt;&gt;0,Source!BA67,1)*Source!I67),2),2)</f>
        <v>124.59</v>
      </c>
      <c r="J211" s="8">
        <f>Source!AU67</f>
        <v>42</v>
      </c>
      <c r="K211" s="11"/>
    </row>
    <row r="212" spans="1:11" ht="12.75">
      <c r="A212" s="8"/>
      <c r="B212" s="8"/>
      <c r="C212" s="8" t="s">
        <v>650</v>
      </c>
      <c r="D212" s="8" t="s">
        <v>648</v>
      </c>
      <c r="E212" s="8">
        <v>175</v>
      </c>
      <c r="F212" s="8"/>
      <c r="G212" s="8"/>
      <c r="H212" s="8"/>
      <c r="I212" s="11">
        <f>ROUND(ROUND((Source!CS67/IF(Source!BS67&lt;&gt;0,Source!BS67,1)*Source!I67),2)*1.75,2)</f>
        <v>109.81</v>
      </c>
      <c r="J212" s="8">
        <v>167</v>
      </c>
      <c r="K212" s="11"/>
    </row>
    <row r="213" spans="1:11" ht="12.75">
      <c r="A213" s="30"/>
      <c r="B213" s="30"/>
      <c r="C213" s="30" t="s">
        <v>651</v>
      </c>
      <c r="D213" s="30" t="s">
        <v>652</v>
      </c>
      <c r="E213" s="30">
        <f>Source!AQ67</f>
        <v>15.2</v>
      </c>
      <c r="F213" s="30"/>
      <c r="G213" s="31">
        <f>Source!DI67</f>
      </c>
      <c r="H213" s="30">
        <f>Source!AV67</f>
        <v>1.067</v>
      </c>
      <c r="I213" s="32">
        <f>ROUND(Source!U67,2)</f>
        <v>14.43</v>
      </c>
      <c r="J213" s="30"/>
      <c r="K213" s="30"/>
    </row>
    <row r="214" spans="9:24" ht="12.75">
      <c r="I214" s="33">
        <f>ROUND((Source!CT67/IF(Source!BA67&lt;&gt;0,Source!BA67,1)*Source!I67),2)+ROUND((Source!CR67/IF(Source!BB67&lt;&gt;0,Source!BB67,1)*Source!I67),2)+ROUND((Source!CQ67/IF(Source!BC67&lt;&gt;0,Source!BC67,1)*Source!I67),2)+SUM(I210:I212)</f>
        <v>1045.5</v>
      </c>
      <c r="J214" s="34"/>
      <c r="K214" s="33"/>
      <c r="L214">
        <f>ROUND((Source!CT67/IF(Source!BA67&lt;&gt;0,Source!BA67,1)*Source!I67),2)</f>
        <v>177.98</v>
      </c>
      <c r="M214" s="12">
        <f>I214</f>
        <v>1045.5</v>
      </c>
      <c r="N214" s="12">
        <f>K214</f>
        <v>0</v>
      </c>
      <c r="O214">
        <f>ROUND(IF(Source!BI67=1,(ROUND((Source!CT67/IF(Source!BA67&lt;&gt;0,Source!BA67,1)*Source!I67),2)+ROUND((Source!CR67/IF(Source!BB67&lt;&gt;0,Source!BB67,1)*Source!I67),2)+ROUND((Source!CQ67/IF(Source!BC67&lt;&gt;0,Source!BC67,1)*Source!I67),2)+((Source!DN67/100)*ROUND((Source!CT67/IF(Source!BA67&lt;&gt;0,Source!BA67,1)*Source!I67),2))+((Source!DO67/100)*ROUND((Source!CT67/IF(Source!BA67&lt;&gt;0,Source!BA67,1)*Source!I67),2))+(ROUND((Source!CS67/IF(Source!BS67&lt;&gt;0,Source!BS67,1)*Source!I67),2)*1.75)),0),2)</f>
        <v>0</v>
      </c>
      <c r="P214">
        <f>ROUND(IF(Source!BI67=2,(ROUND((Source!CT67/IF(Source!BA67&lt;&gt;0,Source!BA67,1)*Source!I67),2)+ROUND((Source!CR67/IF(Source!BB67&lt;&gt;0,Source!BB67,1)*Source!I67),2)+ROUND((Source!CQ67/IF(Source!BC67&lt;&gt;0,Source!BC67,1)*Source!I67),2)+((Source!DN67/100)*ROUND((Source!CT67/IF(Source!BA67&lt;&gt;0,Source!BA67,1)*Source!I67),2))+((Source!DO67/100)*ROUND((Source!CT67/IF(Source!BA67&lt;&gt;0,Source!BA67,1)*Source!I67),2))+(ROUND((Source!CS67/IF(Source!BS67&lt;&gt;0,Source!BS67,1)*Source!I67),2)*1.75)),0),2)</f>
        <v>1045.5</v>
      </c>
      <c r="Q214">
        <f>ROUND(IF(Source!BI67=3,(ROUND((Source!CT67/IF(Source!BA67&lt;&gt;0,Source!BA67,1)*Source!I67),2)+ROUND((Source!CR67/IF(Source!BB67&lt;&gt;0,Source!BB67,1)*Source!I67),2)+ROUND((Source!CQ67/IF(Source!BC67&lt;&gt;0,Source!BC67,1)*Source!I67),2)+((Source!DN67/100)*ROUND((Source!CT67/IF(Source!BA67&lt;&gt;0,Source!BA67,1)*Source!I67),2))+((Source!DO67/100)*ROUND((Source!CT67/IF(Source!BA67&lt;&gt;0,Source!BA67,1)*Source!I67),2))+(ROUND((Source!CS67/IF(Source!BS67&lt;&gt;0,Source!BS67,1)*Source!I67),2)*1.75)),0),2)</f>
        <v>0</v>
      </c>
      <c r="R214">
        <f>ROUND(IF(Source!BI67=4,(ROUND((Source!CT67/IF(Source!BA67&lt;&gt;0,Source!BA67,1)*Source!I67),2)+ROUND((Source!CR67/IF(Source!BB67&lt;&gt;0,Source!BB67,1)*Source!I67),2)+ROUND((Source!CQ67/IF(Source!BC67&lt;&gt;0,Source!BC67,1)*Source!I67),2)+((Source!DN67/100)*ROUND((Source!CT67/IF(Source!BA67&lt;&gt;0,Source!BA67,1)*Source!I67),2))+((Source!DO67/100)*ROUND((Source!CT67/IF(Source!BA67&lt;&gt;0,Source!BA67,1)*Source!I67),2))+(ROUND((Source!CS67/IF(Source!BS67&lt;&gt;0,Source!BS67,1)*Source!I67),2)*1.75)),0),2)</f>
        <v>0</v>
      </c>
      <c r="U214">
        <f>IF(Source!BI67=1,Source!O67+Source!X67+Source!Y67+Source!R67*167/100,0)</f>
        <v>0</v>
      </c>
      <c r="V214">
        <f>IF(Source!BI67=2,Source!O67+Source!X67+Source!Y67+Source!R67*167/100,0)</f>
        <v>8596.4814</v>
      </c>
      <c r="W214">
        <f>IF(Source!BI67=3,Source!O67+Source!X67+Source!Y67+Source!R67*167/100,0)</f>
        <v>0</v>
      </c>
      <c r="X214">
        <f>IF(Source!BI67=4,Source!O67+Source!X67+Source!Y67+Source!R67*167/100,0)</f>
        <v>0</v>
      </c>
    </row>
    <row r="215" spans="1:25" ht="36">
      <c r="A215" s="26" t="str">
        <f>Source!E68</f>
        <v>20</v>
      </c>
      <c r="B215" s="26" t="str">
        <f>Source!F68</f>
        <v>4.10-120-2</v>
      </c>
      <c r="C215" s="9" t="str">
        <f>Source!G68</f>
        <v>ПРОТЯГИВАНИЕ ОПТИЧЕСКОГО КАБЕЛЯ ГТС ПО ЗАНЯТОМУ КАНАЛУ ТРУБОПРОВОДА</v>
      </c>
      <c r="D215" s="27" t="str">
        <f>Source!H68</f>
        <v>100 м</v>
      </c>
      <c r="E215" s="8">
        <f>ROUND(Source!I68,6)</f>
        <v>0.89</v>
      </c>
      <c r="F215" s="8"/>
      <c r="G215" s="8"/>
      <c r="H215" s="8"/>
      <c r="I215" s="8"/>
      <c r="J215" s="8"/>
      <c r="K215" s="8"/>
      <c r="Y215">
        <v>20</v>
      </c>
    </row>
    <row r="216" spans="1:11" ht="12.75">
      <c r="A216" s="8"/>
      <c r="B216" s="8"/>
      <c r="C216" s="8" t="s">
        <v>644</v>
      </c>
      <c r="D216" s="8"/>
      <c r="E216" s="8"/>
      <c r="F216" s="11">
        <f>Source!AO68</f>
        <v>220.32</v>
      </c>
      <c r="G216" s="28">
        <f>Source!DG68</f>
      </c>
      <c r="H216" s="8">
        <f>Source!AV68</f>
        <v>1.067</v>
      </c>
      <c r="I216" s="11">
        <f>ROUND((Source!CT68/IF(Source!BA68&lt;&gt;0,Source!BA68,1)*Source!I68),2)</f>
        <v>209.22</v>
      </c>
      <c r="J216" s="8">
        <f>Source!BA68</f>
        <v>13.09</v>
      </c>
      <c r="K216" s="11"/>
    </row>
    <row r="217" spans="1:11" ht="12.75">
      <c r="A217" s="8"/>
      <c r="B217" s="8"/>
      <c r="C217" s="8" t="s">
        <v>645</v>
      </c>
      <c r="D217" s="8"/>
      <c r="E217" s="8"/>
      <c r="F217" s="11">
        <f>Source!AM68</f>
        <v>355.05</v>
      </c>
      <c r="G217" s="28">
        <f>Source!DE68</f>
      </c>
      <c r="H217" s="8">
        <f>Source!AV68</f>
        <v>1.067</v>
      </c>
      <c r="I217" s="11">
        <f>ROUND((Source!CR68/IF(Source!BB68&lt;&gt;0,Source!BB68,1)*Source!I68),2)</f>
        <v>337.17</v>
      </c>
      <c r="J217" s="8">
        <f>Source!BB68</f>
        <v>5.51</v>
      </c>
      <c r="K217" s="11"/>
    </row>
    <row r="218" spans="1:12" ht="12.75">
      <c r="A218" s="8"/>
      <c r="B218" s="8"/>
      <c r="C218" s="8" t="s">
        <v>646</v>
      </c>
      <c r="D218" s="8"/>
      <c r="E218" s="8"/>
      <c r="F218" s="11">
        <f>Source!AN68</f>
        <v>69.79</v>
      </c>
      <c r="G218" s="28">
        <f>Source!DF68</f>
      </c>
      <c r="H218" s="8">
        <f>Source!AV68</f>
        <v>1.067</v>
      </c>
      <c r="I218" s="29" t="str">
        <f>CONCATENATE("(",TEXT(+ROUND((Source!CS68/IF(J218&lt;&gt;0,J218,1)*Source!I68),2),"0,00"),")")</f>
        <v>(66,27)</v>
      </c>
      <c r="J218" s="8">
        <f>Source!BS68</f>
        <v>13.09</v>
      </c>
      <c r="K218" s="29"/>
      <c r="L218">
        <f>ROUND(IF(J218&lt;&gt;0,Source!R68/J218,Source!R68),2)</f>
        <v>66.28</v>
      </c>
    </row>
    <row r="219" spans="1:11" ht="12.75">
      <c r="A219" s="8"/>
      <c r="B219" s="8"/>
      <c r="C219" s="8" t="s">
        <v>655</v>
      </c>
      <c r="D219" s="8"/>
      <c r="E219" s="8"/>
      <c r="F219" s="11">
        <f>Source!AL68</f>
        <v>5.11</v>
      </c>
      <c r="G219" s="8">
        <f>Source!DD68</f>
      </c>
      <c r="H219" s="8">
        <f>Source!AW68</f>
        <v>1.081</v>
      </c>
      <c r="I219" s="11">
        <f>ROUND((Source!CQ68/IF(Source!BC68&lt;&gt;0,Source!BC68,1)*Source!I68),2)</f>
        <v>4.92</v>
      </c>
      <c r="J219" s="8">
        <f>Source!BC68</f>
        <v>4.56</v>
      </c>
      <c r="K219" s="11"/>
    </row>
    <row r="220" spans="1:11" ht="12.75">
      <c r="A220" s="8"/>
      <c r="B220" s="8"/>
      <c r="C220" s="8" t="s">
        <v>647</v>
      </c>
      <c r="D220" s="8" t="s">
        <v>648</v>
      </c>
      <c r="E220" s="8">
        <f>Source!DN68</f>
        <v>112</v>
      </c>
      <c r="F220" s="8"/>
      <c r="G220" s="8"/>
      <c r="H220" s="8"/>
      <c r="I220" s="11">
        <f>ROUND((E220/100)*ROUND((Source!CT68/IF(Source!BA68&lt;&gt;0,Source!BA68,1)*Source!I68),2),2)</f>
        <v>234.33</v>
      </c>
      <c r="J220" s="8">
        <f>Source!AT68</f>
        <v>96</v>
      </c>
      <c r="K220" s="11"/>
    </row>
    <row r="221" spans="1:11" ht="12.75">
      <c r="A221" s="8"/>
      <c r="B221" s="8"/>
      <c r="C221" s="8" t="s">
        <v>649</v>
      </c>
      <c r="D221" s="8" t="s">
        <v>648</v>
      </c>
      <c r="E221" s="8">
        <f>Source!DO68</f>
        <v>70</v>
      </c>
      <c r="F221" s="8"/>
      <c r="G221" s="8"/>
      <c r="H221" s="8"/>
      <c r="I221" s="11">
        <f>ROUND((E221/100)*ROUND((Source!CT68/IF(Source!BA68&lt;&gt;0,Source!BA68,1)*Source!I68),2),2)</f>
        <v>146.45</v>
      </c>
      <c r="J221" s="8">
        <f>Source!AU68</f>
        <v>42</v>
      </c>
      <c r="K221" s="11"/>
    </row>
    <row r="222" spans="1:11" ht="12.75">
      <c r="A222" s="8"/>
      <c r="B222" s="8"/>
      <c r="C222" s="8" t="s">
        <v>650</v>
      </c>
      <c r="D222" s="8" t="s">
        <v>648</v>
      </c>
      <c r="E222" s="8">
        <v>175</v>
      </c>
      <c r="F222" s="8"/>
      <c r="G222" s="8"/>
      <c r="H222" s="8"/>
      <c r="I222" s="11">
        <f>ROUND(ROUND((Source!CS68/IF(Source!BS68&lt;&gt;0,Source!BS68,1)*Source!I68),2)*1.75,2)</f>
        <v>115.97</v>
      </c>
      <c r="J222" s="8">
        <v>167</v>
      </c>
      <c r="K222" s="11"/>
    </row>
    <row r="223" spans="1:11" ht="12.75">
      <c r="A223" s="30"/>
      <c r="B223" s="30"/>
      <c r="C223" s="30" t="s">
        <v>651</v>
      </c>
      <c r="D223" s="30" t="s">
        <v>652</v>
      </c>
      <c r="E223" s="30">
        <f>Source!AQ68</f>
        <v>16</v>
      </c>
      <c r="F223" s="30"/>
      <c r="G223" s="31">
        <f>Source!DI68</f>
      </c>
      <c r="H223" s="30">
        <f>Source!AV68</f>
        <v>1.067</v>
      </c>
      <c r="I223" s="32">
        <f>ROUND(Source!U68,2)</f>
        <v>15.19</v>
      </c>
      <c r="J223" s="30"/>
      <c r="K223" s="30"/>
    </row>
    <row r="224" spans="9:24" ht="12.75">
      <c r="I224" s="33">
        <f>ROUND((Source!CT68/IF(Source!BA68&lt;&gt;0,Source!BA68,1)*Source!I68),2)+ROUND((Source!CR68/IF(Source!BB68&lt;&gt;0,Source!BB68,1)*Source!I68),2)+ROUND((Source!CQ68/IF(Source!BC68&lt;&gt;0,Source!BC68,1)*Source!I68),2)+SUM(I220:I222)</f>
        <v>1048.06</v>
      </c>
      <c r="J224" s="34"/>
      <c r="K224" s="33"/>
      <c r="L224">
        <f>ROUND((Source!CT68/IF(Source!BA68&lt;&gt;0,Source!BA68,1)*Source!I68),2)</f>
        <v>209.22</v>
      </c>
      <c r="M224" s="12">
        <f>I224</f>
        <v>1048.06</v>
      </c>
      <c r="N224" s="12">
        <f>K224</f>
        <v>0</v>
      </c>
      <c r="O224">
        <f>ROUND(IF(Source!BI68=1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P224">
        <f>ROUND(IF(Source!BI68=2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1048.06</v>
      </c>
      <c r="Q224">
        <f>ROUND(IF(Source!BI68=3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R224">
        <f>ROUND(IF(Source!BI68=4,(ROUND((Source!CT68/IF(Source!BA68&lt;&gt;0,Source!BA68,1)*Source!I68),2)+ROUND((Source!CR68/IF(Source!BB68&lt;&gt;0,Source!BB68,1)*Source!I68),2)+ROUND((Source!CQ68/IF(Source!BC68&lt;&gt;0,Source!BC68,1)*Source!I68),2)+((Source!DN68/100)*ROUND((Source!CT68/IF(Source!BA68&lt;&gt;0,Source!BA68,1)*Source!I68),2))+((Source!DO68/100)*ROUND((Source!CT68/IF(Source!BA68&lt;&gt;0,Source!BA68,1)*Source!I68),2))+(ROUND((Source!CS68/IF(Source!BS68&lt;&gt;0,Source!BS68,1)*Source!I68),2)*1.75)),0),2)</f>
        <v>0</v>
      </c>
      <c r="U224">
        <f>IF(Source!BI68=1,Source!O68+Source!X68+Source!Y68+Source!R68*167/100,0)</f>
        <v>0</v>
      </c>
      <c r="V224">
        <f>IF(Source!BI68=2,Source!O68+Source!X68+Source!Y68+Source!R68*167/100,0)</f>
        <v>9847.1518</v>
      </c>
      <c r="W224">
        <f>IF(Source!BI68=3,Source!O68+Source!X68+Source!Y68+Source!R68*167/100,0)</f>
        <v>0</v>
      </c>
      <c r="X224">
        <f>IF(Source!BI68=4,Source!O68+Source!X68+Source!Y68+Source!R68*167/100,0)</f>
        <v>0</v>
      </c>
    </row>
    <row r="225" spans="1:25" ht="72">
      <c r="A225" s="26" t="str">
        <f>Source!E69</f>
        <v>21</v>
      </c>
      <c r="B225" s="26" t="str">
        <f>Source!F69</f>
        <v>4.8-89-14</v>
      </c>
      <c r="C225" s="9" t="str">
        <f>Source!G69</f>
        <v>ЗАДЕЛКИ КОНЦЕВЫЕ СУХИЕ ДЛЯ 3-4-ЖИЛЬНОГО КАБЕЛЯ С ПЛАСТМАССОВОЙ И РЕЗИНОВОЙ ИЗОЛЯЦИЕЙ НАПРЯЖЕНИЕМ ДО 1 КВ, СЕЧЕНИЕ ОДНОЙ ЖИЛЫ ДО 35 ММ2</v>
      </c>
      <c r="D225" s="27" t="str">
        <f>Source!H69</f>
        <v>шт.</v>
      </c>
      <c r="E225" s="8">
        <f>ROUND(Source!I69,6)</f>
        <v>8</v>
      </c>
      <c r="F225" s="8"/>
      <c r="G225" s="8"/>
      <c r="H225" s="8"/>
      <c r="I225" s="8"/>
      <c r="J225" s="8"/>
      <c r="K225" s="8"/>
      <c r="Y225">
        <v>21</v>
      </c>
    </row>
    <row r="226" spans="1:11" ht="12.75">
      <c r="A226" s="8"/>
      <c r="B226" s="8"/>
      <c r="C226" s="8" t="s">
        <v>644</v>
      </c>
      <c r="D226" s="8"/>
      <c r="E226" s="8"/>
      <c r="F226" s="11">
        <f>Source!AO69</f>
        <v>14.18</v>
      </c>
      <c r="G226" s="28">
        <f>Source!DG69</f>
      </c>
      <c r="H226" s="8">
        <f>Source!AV69</f>
        <v>1.047</v>
      </c>
      <c r="I226" s="11">
        <f>ROUND((Source!CT69/IF(Source!BA69&lt;&gt;0,Source!BA69,1)*Source!I69),2)</f>
        <v>118.77</v>
      </c>
      <c r="J226" s="8">
        <f>Source!BA69</f>
        <v>13.09</v>
      </c>
      <c r="K226" s="11"/>
    </row>
    <row r="227" spans="1:11" ht="12.75">
      <c r="A227" s="8"/>
      <c r="B227" s="8"/>
      <c r="C227" s="8" t="s">
        <v>655</v>
      </c>
      <c r="D227" s="8"/>
      <c r="E227" s="8"/>
      <c r="F227" s="11">
        <f>Source!AL69</f>
        <v>4.34</v>
      </c>
      <c r="G227" s="8">
        <f>Source!DD69</f>
      </c>
      <c r="H227" s="8">
        <f>Source!AW69</f>
        <v>1</v>
      </c>
      <c r="I227" s="11">
        <f>ROUND((Source!CQ69/IF(Source!BC69&lt;&gt;0,Source!BC69,1)*Source!I69),2)</f>
        <v>34.72</v>
      </c>
      <c r="J227" s="8">
        <f>Source!BC69</f>
        <v>4.56</v>
      </c>
      <c r="K227" s="11"/>
    </row>
    <row r="228" spans="1:11" ht="12.75">
      <c r="A228" s="8"/>
      <c r="B228" s="8"/>
      <c r="C228" s="8" t="s">
        <v>647</v>
      </c>
      <c r="D228" s="8" t="s">
        <v>648</v>
      </c>
      <c r="E228" s="8">
        <f>Source!DN69</f>
        <v>112</v>
      </c>
      <c r="F228" s="8"/>
      <c r="G228" s="8"/>
      <c r="H228" s="8"/>
      <c r="I228" s="11">
        <f>ROUND((E228/100)*ROUND((Source!CT69/IF(Source!BA69&lt;&gt;0,Source!BA69,1)*Source!I69),2),2)</f>
        <v>133.02</v>
      </c>
      <c r="J228" s="8">
        <f>Source!AT69</f>
        <v>96</v>
      </c>
      <c r="K228" s="11"/>
    </row>
    <row r="229" spans="1:11" ht="12.75">
      <c r="A229" s="8"/>
      <c r="B229" s="8"/>
      <c r="C229" s="8" t="s">
        <v>649</v>
      </c>
      <c r="D229" s="8" t="s">
        <v>648</v>
      </c>
      <c r="E229" s="8">
        <f>Source!DO69</f>
        <v>70</v>
      </c>
      <c r="F229" s="8"/>
      <c r="G229" s="8"/>
      <c r="H229" s="8"/>
      <c r="I229" s="11">
        <f>ROUND((E229/100)*ROUND((Source!CT69/IF(Source!BA69&lt;&gt;0,Source!BA69,1)*Source!I69),2),2)</f>
        <v>83.14</v>
      </c>
      <c r="J229" s="8">
        <f>Source!AU69</f>
        <v>42</v>
      </c>
      <c r="K229" s="11"/>
    </row>
    <row r="230" spans="1:11" ht="12.75">
      <c r="A230" s="30"/>
      <c r="B230" s="30"/>
      <c r="C230" s="30" t="s">
        <v>651</v>
      </c>
      <c r="D230" s="30" t="s">
        <v>652</v>
      </c>
      <c r="E230" s="30">
        <f>Source!AQ69</f>
        <v>1.15</v>
      </c>
      <c r="F230" s="30"/>
      <c r="G230" s="31">
        <f>Source!DI69</f>
      </c>
      <c r="H230" s="30">
        <f>Source!AV69</f>
        <v>1.047</v>
      </c>
      <c r="I230" s="32">
        <f>ROUND(Source!U69,2)</f>
        <v>9.63</v>
      </c>
      <c r="J230" s="30"/>
      <c r="K230" s="30"/>
    </row>
    <row r="231" spans="9:24" ht="12.75">
      <c r="I231" s="33">
        <f>ROUND((Source!CT69/IF(Source!BA69&lt;&gt;0,Source!BA69,1)*Source!I69),2)+ROUND((Source!CR69/IF(Source!BB69&lt;&gt;0,Source!BB69,1)*Source!I69),2)+ROUND((Source!CQ69/IF(Source!BC69&lt;&gt;0,Source!BC69,1)*Source!I69),2)+SUM(I228:I229)</f>
        <v>369.65000000000003</v>
      </c>
      <c r="J231" s="34"/>
      <c r="K231" s="33"/>
      <c r="L231">
        <f>ROUND((Source!CT69/IF(Source!BA69&lt;&gt;0,Source!BA69,1)*Source!I69),2)</f>
        <v>118.77</v>
      </c>
      <c r="M231" s="12">
        <f>I231</f>
        <v>369.65000000000003</v>
      </c>
      <c r="N231" s="12">
        <f>K231</f>
        <v>0</v>
      </c>
      <c r="O231">
        <f>ROUND(IF(Source!BI69=1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P231">
        <f>ROUND(IF(Source!BI69=2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369.65</v>
      </c>
      <c r="Q231">
        <f>ROUND(IF(Source!BI69=3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R231">
        <f>ROUND(IF(Source!BI69=4,(ROUND((Source!CT69/IF(Source!BA69&lt;&gt;0,Source!BA69,1)*Source!I69),2)+ROUND((Source!CR69/IF(Source!BB69&lt;&gt;0,Source!BB69,1)*Source!I69),2)+ROUND((Source!CQ69/IF(Source!BC69&lt;&gt;0,Source!BC69,1)*Source!I69),2)+((Source!DN69/100)*ROUND((Source!CT69/IF(Source!BA69&lt;&gt;0,Source!BA69,1)*Source!I69),2))+((Source!DO69/100)*ROUND((Source!CT69/IF(Source!BA69&lt;&gt;0,Source!BA69,1)*Source!I69),2))+(ROUND((Source!CS69/IF(Source!BS69&lt;&gt;0,Source!BS69,1)*Source!I69),2)*1.75)),0),2)</f>
        <v>0</v>
      </c>
      <c r="U231">
        <f>IF(Source!BI69=1,Source!O69+Source!X69+Source!Y69+Source!R69*167/100,0)</f>
        <v>0</v>
      </c>
      <c r="V231">
        <f>IF(Source!BI69=2,Source!O69+Source!X69+Source!Y69+Source!R69*167/100,0)</f>
        <v>3858.5499999999997</v>
      </c>
      <c r="W231">
        <f>IF(Source!BI69=3,Source!O69+Source!X69+Source!Y69+Source!R69*167/100,0)</f>
        <v>0</v>
      </c>
      <c r="X231">
        <f>IF(Source!BI69=4,Source!O69+Source!X69+Source!Y69+Source!R69*167/100,0)</f>
        <v>0</v>
      </c>
    </row>
    <row r="232" spans="1:25" ht="72">
      <c r="A232" s="26" t="str">
        <f>Source!E70</f>
        <v>22</v>
      </c>
      <c r="B232" s="26" t="str">
        <f>Source!F70</f>
        <v>4.11-13-1</v>
      </c>
      <c r="C232" s="9" t="str">
        <f>Source!G70</f>
        <v>РАЗЪЕМ ШТЕПСЕЛЬНЫЙ С РАЗДЕЛКОЙ И ВКЛЮЧЕНИЕМ ЭКРАНИРОВАННОГО КАБЕЛЯ, СЕЧЕНИЕ ЖИЛЫ ДО 1 ММ2, КОЛИЧЕСТВО ПОДКЛЮЧАЕМЫХ ЖИЛ ДО 14</v>
      </c>
      <c r="D232" s="27" t="str">
        <f>Source!H70</f>
        <v>шт.</v>
      </c>
      <c r="E232" s="8">
        <f>ROUND(Source!I70,6)</f>
        <v>6</v>
      </c>
      <c r="F232" s="8"/>
      <c r="G232" s="8"/>
      <c r="H232" s="8"/>
      <c r="I232" s="8"/>
      <c r="J232" s="8"/>
      <c r="K232" s="8"/>
      <c r="Y232">
        <v>22</v>
      </c>
    </row>
    <row r="233" spans="1:11" ht="12.75">
      <c r="A233" s="8"/>
      <c r="B233" s="8"/>
      <c r="C233" s="8" t="s">
        <v>644</v>
      </c>
      <c r="D233" s="8"/>
      <c r="E233" s="8"/>
      <c r="F233" s="11">
        <f>Source!AO70</f>
        <v>25.4</v>
      </c>
      <c r="G233" s="28">
        <f>Source!DG70</f>
      </c>
      <c r="H233" s="8">
        <f>Source!AV70</f>
        <v>1.047</v>
      </c>
      <c r="I233" s="11">
        <f>ROUND((Source!CT70/IF(Source!BA70&lt;&gt;0,Source!BA70,1)*Source!I70),2)</f>
        <v>159.56</v>
      </c>
      <c r="J233" s="8">
        <f>Source!BA70</f>
        <v>13.09</v>
      </c>
      <c r="K233" s="11"/>
    </row>
    <row r="234" spans="1:11" ht="12.75">
      <c r="A234" s="8"/>
      <c r="B234" s="8"/>
      <c r="C234" s="8" t="s">
        <v>655</v>
      </c>
      <c r="D234" s="8"/>
      <c r="E234" s="8"/>
      <c r="F234" s="11">
        <f>Source!AL70</f>
        <v>2.03</v>
      </c>
      <c r="G234" s="8">
        <f>Source!DD70</f>
      </c>
      <c r="H234" s="8">
        <f>Source!AW70</f>
        <v>1</v>
      </c>
      <c r="I234" s="11">
        <f>ROUND((Source!CQ70/IF(Source!BC70&lt;&gt;0,Source!BC70,1)*Source!I70),2)</f>
        <v>12.18</v>
      </c>
      <c r="J234" s="8">
        <f>Source!BC70</f>
        <v>4.56</v>
      </c>
      <c r="K234" s="11"/>
    </row>
    <row r="235" spans="1:11" ht="12.75">
      <c r="A235" s="8"/>
      <c r="B235" s="8"/>
      <c r="C235" s="8" t="s">
        <v>647</v>
      </c>
      <c r="D235" s="8" t="s">
        <v>648</v>
      </c>
      <c r="E235" s="8">
        <f>Source!DN70</f>
        <v>112</v>
      </c>
      <c r="F235" s="8"/>
      <c r="G235" s="8"/>
      <c r="H235" s="8"/>
      <c r="I235" s="11">
        <f>ROUND((E235/100)*ROUND((Source!CT70/IF(Source!BA70&lt;&gt;0,Source!BA70,1)*Source!I70),2),2)</f>
        <v>178.71</v>
      </c>
      <c r="J235" s="8">
        <f>Source!AT70</f>
        <v>96</v>
      </c>
      <c r="K235" s="11"/>
    </row>
    <row r="236" spans="1:11" ht="12.75">
      <c r="A236" s="8"/>
      <c r="B236" s="8"/>
      <c r="C236" s="8" t="s">
        <v>649</v>
      </c>
      <c r="D236" s="8" t="s">
        <v>648</v>
      </c>
      <c r="E236" s="8">
        <f>Source!DO70</f>
        <v>70</v>
      </c>
      <c r="F236" s="8"/>
      <c r="G236" s="8"/>
      <c r="H236" s="8"/>
      <c r="I236" s="11">
        <f>ROUND((E236/100)*ROUND((Source!CT70/IF(Source!BA70&lt;&gt;0,Source!BA70,1)*Source!I70),2),2)</f>
        <v>111.69</v>
      </c>
      <c r="J236" s="8">
        <f>Source!AU70</f>
        <v>42</v>
      </c>
      <c r="K236" s="11"/>
    </row>
    <row r="237" spans="1:11" ht="12.75">
      <c r="A237" s="30"/>
      <c r="B237" s="30"/>
      <c r="C237" s="30" t="s">
        <v>651</v>
      </c>
      <c r="D237" s="30" t="s">
        <v>652</v>
      </c>
      <c r="E237" s="30">
        <f>Source!AQ70</f>
        <v>2.06</v>
      </c>
      <c r="F237" s="30"/>
      <c r="G237" s="31">
        <f>Source!DI70</f>
      </c>
      <c r="H237" s="30">
        <f>Source!AV70</f>
        <v>1.047</v>
      </c>
      <c r="I237" s="32">
        <f>ROUND(Source!U70,2)</f>
        <v>12.94</v>
      </c>
      <c r="J237" s="30"/>
      <c r="K237" s="30"/>
    </row>
    <row r="238" spans="9:24" ht="12.75">
      <c r="I238" s="33">
        <f>ROUND((Source!CT70/IF(Source!BA70&lt;&gt;0,Source!BA70,1)*Source!I70),2)+ROUND((Source!CR70/IF(Source!BB70&lt;&gt;0,Source!BB70,1)*Source!I70),2)+ROUND((Source!CQ70/IF(Source!BC70&lt;&gt;0,Source!BC70,1)*Source!I70),2)+SUM(I235:I236)</f>
        <v>462.14</v>
      </c>
      <c r="J238" s="34"/>
      <c r="K238" s="33"/>
      <c r="L238">
        <f>ROUND((Source!CT70/IF(Source!BA70&lt;&gt;0,Source!BA70,1)*Source!I70),2)</f>
        <v>159.56</v>
      </c>
      <c r="M238" s="12">
        <f>I238</f>
        <v>462.14</v>
      </c>
      <c r="N238" s="12">
        <f>K238</f>
        <v>0</v>
      </c>
      <c r="O238">
        <f>ROUND(IF(Source!BI70=1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P238">
        <f>ROUND(IF(Source!BI70=2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462.14</v>
      </c>
      <c r="Q238">
        <f>ROUND(IF(Source!BI70=3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R238">
        <f>ROUND(IF(Source!BI70=4,(ROUND((Source!CT70/IF(Source!BA70&lt;&gt;0,Source!BA70,1)*Source!I70),2)+ROUND((Source!CR70/IF(Source!BB70&lt;&gt;0,Source!BB70,1)*Source!I70),2)+ROUND((Source!CQ70/IF(Source!BC70&lt;&gt;0,Source!BC70,1)*Source!I70),2)+((Source!DN70/100)*ROUND((Source!CT70/IF(Source!BA70&lt;&gt;0,Source!BA70,1)*Source!I70),2))+((Source!DO70/100)*ROUND((Source!CT70/IF(Source!BA70&lt;&gt;0,Source!BA70,1)*Source!I70),2))+(ROUND((Source!CS70/IF(Source!BS70&lt;&gt;0,Source!BS70,1)*Source!I70),2)*1.75)),0),2)</f>
        <v>0</v>
      </c>
      <c r="U238">
        <f>IF(Source!BI70=1,Source!O70+Source!X70+Source!Y70+Source!R70*167/100,0)</f>
        <v>0</v>
      </c>
      <c r="V238">
        <f>IF(Source!BI70=2,Source!O70+Source!X70+Source!Y70+Source!R70*167/100,0)</f>
        <v>5026.6</v>
      </c>
      <c r="W238">
        <f>IF(Source!BI70=3,Source!O70+Source!X70+Source!Y70+Source!R70*167/100,0)</f>
        <v>0</v>
      </c>
      <c r="X238">
        <f>IF(Source!BI70=4,Source!O70+Source!X70+Source!Y70+Source!R70*167/100,0)</f>
        <v>0</v>
      </c>
    </row>
    <row r="239" spans="1:25" ht="60">
      <c r="A239" s="26" t="str">
        <f>Source!E71</f>
        <v>23</v>
      </c>
      <c r="B239" s="26" t="str">
        <f>Source!F71</f>
        <v>4.10-139-1</v>
      </c>
      <c r="C239" s="9" t="str">
        <f>Source!G71</f>
        <v>РАЗНЫЕ РАБОТЫ: РАЗДЕЛКА КОАКСИАЛЬНОГО ТВ КАБЕЛЯ В РАЗЪЕМЫ И ПОДКЛЮЧЕНИЕ К ОБОРУДОВАНИЮ, ДИАМЕТР ОБОЛОЧКИ КАБЕЛЯ ДО 20 ММ</v>
      </c>
      <c r="D239" s="27" t="str">
        <f>Source!H71</f>
        <v>конец кабеля</v>
      </c>
      <c r="E239" s="8">
        <f>ROUND(Source!I71,6)</f>
        <v>2</v>
      </c>
      <c r="F239" s="8"/>
      <c r="G239" s="8"/>
      <c r="H239" s="8"/>
      <c r="I239" s="8"/>
      <c r="J239" s="8"/>
      <c r="K239" s="8"/>
      <c r="Y239">
        <v>23</v>
      </c>
    </row>
    <row r="240" spans="1:11" ht="12.75">
      <c r="A240" s="8"/>
      <c r="B240" s="8"/>
      <c r="C240" s="8" t="s">
        <v>644</v>
      </c>
      <c r="D240" s="8"/>
      <c r="E240" s="8"/>
      <c r="F240" s="11">
        <f>Source!AO71</f>
        <v>13.57</v>
      </c>
      <c r="G240" s="28">
        <f>Source!DG71</f>
      </c>
      <c r="H240" s="8">
        <f>Source!AV71</f>
        <v>1.087</v>
      </c>
      <c r="I240" s="11">
        <f>ROUND((Source!CT71/IF(Source!BA71&lt;&gt;0,Source!BA71,1)*Source!I71),2)</f>
        <v>29.5</v>
      </c>
      <c r="J240" s="8">
        <f>Source!BA71</f>
        <v>13.09</v>
      </c>
      <c r="K240" s="11"/>
    </row>
    <row r="241" spans="1:11" ht="12.75">
      <c r="A241" s="8"/>
      <c r="B241" s="8"/>
      <c r="C241" s="8" t="s">
        <v>655</v>
      </c>
      <c r="D241" s="8"/>
      <c r="E241" s="8"/>
      <c r="F241" s="11">
        <f>Source!AL71</f>
        <v>0.09</v>
      </c>
      <c r="G241" s="8">
        <f>Source!DD71</f>
      </c>
      <c r="H241" s="8">
        <f>Source!AW71</f>
        <v>1</v>
      </c>
      <c r="I241" s="11">
        <f>ROUND((Source!CQ71/IF(Source!BC71&lt;&gt;0,Source!BC71,1)*Source!I71),2)</f>
        <v>0.18</v>
      </c>
      <c r="J241" s="8">
        <f>Source!BC71</f>
        <v>1.78</v>
      </c>
      <c r="K241" s="11"/>
    </row>
    <row r="242" spans="1:11" ht="12.75">
      <c r="A242" s="8"/>
      <c r="B242" s="8"/>
      <c r="C242" s="8" t="s">
        <v>647</v>
      </c>
      <c r="D242" s="8" t="s">
        <v>648</v>
      </c>
      <c r="E242" s="8">
        <f>Source!DN71</f>
        <v>112</v>
      </c>
      <c r="F242" s="8"/>
      <c r="G242" s="8"/>
      <c r="H242" s="8"/>
      <c r="I242" s="11">
        <f>ROUND((E242/100)*ROUND((Source!CT71/IF(Source!BA71&lt;&gt;0,Source!BA71,1)*Source!I71),2),2)</f>
        <v>33.04</v>
      </c>
      <c r="J242" s="8">
        <f>Source!AT71</f>
        <v>96</v>
      </c>
      <c r="K242" s="11"/>
    </row>
    <row r="243" spans="1:11" ht="12.75">
      <c r="A243" s="8"/>
      <c r="B243" s="8"/>
      <c r="C243" s="8" t="s">
        <v>649</v>
      </c>
      <c r="D243" s="8" t="s">
        <v>648</v>
      </c>
      <c r="E243" s="8">
        <f>Source!DO71</f>
        <v>70</v>
      </c>
      <c r="F243" s="8"/>
      <c r="G243" s="8"/>
      <c r="H243" s="8"/>
      <c r="I243" s="11">
        <f>ROUND((E243/100)*ROUND((Source!CT71/IF(Source!BA71&lt;&gt;0,Source!BA71,1)*Source!I71),2),2)</f>
        <v>20.65</v>
      </c>
      <c r="J243" s="8">
        <f>Source!AU71</f>
        <v>42</v>
      </c>
      <c r="K243" s="11"/>
    </row>
    <row r="244" spans="1:11" ht="12.75">
      <c r="A244" s="30"/>
      <c r="B244" s="30"/>
      <c r="C244" s="30" t="s">
        <v>651</v>
      </c>
      <c r="D244" s="30" t="s">
        <v>652</v>
      </c>
      <c r="E244" s="30">
        <f>Source!AQ71</f>
        <v>1</v>
      </c>
      <c r="F244" s="30"/>
      <c r="G244" s="31">
        <f>Source!DI71</f>
      </c>
      <c r="H244" s="30">
        <f>Source!AV71</f>
        <v>1.087</v>
      </c>
      <c r="I244" s="32">
        <f>ROUND(Source!U71,2)</f>
        <v>2.17</v>
      </c>
      <c r="J244" s="30"/>
      <c r="K244" s="30"/>
    </row>
    <row r="245" spans="9:24" ht="12.75">
      <c r="I245" s="33">
        <f>ROUND((Source!CT71/IF(Source!BA71&lt;&gt;0,Source!BA71,1)*Source!I71),2)+ROUND((Source!CR71/IF(Source!BB71&lt;&gt;0,Source!BB71,1)*Source!I71),2)+ROUND((Source!CQ71/IF(Source!BC71&lt;&gt;0,Source!BC71,1)*Source!I71),2)+SUM(I242:I243)</f>
        <v>83.37</v>
      </c>
      <c r="J245" s="34"/>
      <c r="K245" s="33"/>
      <c r="L245">
        <f>ROUND((Source!CT71/IF(Source!BA71&lt;&gt;0,Source!BA71,1)*Source!I71),2)</f>
        <v>29.5</v>
      </c>
      <c r="M245" s="12">
        <f>I245</f>
        <v>83.37</v>
      </c>
      <c r="N245" s="12">
        <f>K245</f>
        <v>0</v>
      </c>
      <c r="O245">
        <f>ROUND(IF(Source!BI71=1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P245">
        <f>ROUND(IF(Source!BI71=2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83.37</v>
      </c>
      <c r="Q245">
        <f>ROUND(IF(Source!BI71=3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R245">
        <f>ROUND(IF(Source!BI71=4,(ROUND((Source!CT71/IF(Source!BA71&lt;&gt;0,Source!BA71,1)*Source!I71),2)+ROUND((Source!CR71/IF(Source!BB71&lt;&gt;0,Source!BB71,1)*Source!I71),2)+ROUND((Source!CQ71/IF(Source!BC71&lt;&gt;0,Source!BC71,1)*Source!I71),2)+((Source!DN71/100)*ROUND((Source!CT71/IF(Source!BA71&lt;&gt;0,Source!BA71,1)*Source!I71),2))+((Source!DO71/100)*ROUND((Source!CT71/IF(Source!BA71&lt;&gt;0,Source!BA71,1)*Source!I71),2))+(ROUND((Source!CS71/IF(Source!BS71&lt;&gt;0,Source!BS71,1)*Source!I71),2)*1.75)),0),2)</f>
        <v>0</v>
      </c>
      <c r="U245">
        <f>IF(Source!BI71=1,Source!O71+Source!X71+Source!Y71+Source!R71*167/100,0)</f>
        <v>0</v>
      </c>
      <c r="V245">
        <f>IF(Source!BI71=2,Source!O71+Source!X71+Source!Y71+Source!R71*167/100,0)</f>
        <v>919.4000000000001</v>
      </c>
      <c r="W245">
        <f>IF(Source!BI71=3,Source!O71+Source!X71+Source!Y71+Source!R71*167/100,0)</f>
        <v>0</v>
      </c>
      <c r="X245">
        <f>IF(Source!BI71=4,Source!O71+Source!X71+Source!Y71+Source!R71*167/100,0)</f>
        <v>0</v>
      </c>
    </row>
    <row r="246" spans="1:25" ht="48">
      <c r="A246" s="26" t="str">
        <f>Source!E72</f>
        <v>24</v>
      </c>
      <c r="B246" s="26" t="str">
        <f>Source!F72</f>
        <v>4.10-123-1</v>
      </c>
      <c r="C246" s="9" t="str">
        <f>Source!G72</f>
        <v>ИЗМЕРЕНИЕ ЗАТУХАНИЯ НА КАБЕЛЬНОЙ ПЛОЩАДКЕ ОПТИЧЕСКОГО КАБЕЛЯ ГТС С ЧИСЛОМ ВОЛОКОН 4</v>
      </c>
      <c r="D246" s="27" t="str">
        <f>Source!H72</f>
        <v>кабель</v>
      </c>
      <c r="E246" s="8">
        <f>ROUND(Source!I72,6)</f>
        <v>1</v>
      </c>
      <c r="F246" s="8"/>
      <c r="G246" s="8"/>
      <c r="H246" s="8"/>
      <c r="I246" s="8"/>
      <c r="J246" s="8"/>
      <c r="K246" s="8"/>
      <c r="Y246">
        <v>24</v>
      </c>
    </row>
    <row r="247" spans="1:11" ht="12.75">
      <c r="A247" s="8"/>
      <c r="B247" s="8"/>
      <c r="C247" s="8" t="s">
        <v>644</v>
      </c>
      <c r="D247" s="8"/>
      <c r="E247" s="8"/>
      <c r="F247" s="11">
        <f>Source!AO72</f>
        <v>135.44</v>
      </c>
      <c r="G247" s="28">
        <f>Source!DG72</f>
      </c>
      <c r="H247" s="8">
        <f>Source!AV72</f>
        <v>1.067</v>
      </c>
      <c r="I247" s="11">
        <f>ROUND((Source!CT72/IF(Source!BA72&lt;&gt;0,Source!BA72,1)*Source!I72),2)</f>
        <v>144.51</v>
      </c>
      <c r="J247" s="8">
        <f>Source!BA72</f>
        <v>13.09</v>
      </c>
      <c r="K247" s="11"/>
    </row>
    <row r="248" spans="1:11" ht="12.75">
      <c r="A248" s="8"/>
      <c r="B248" s="8"/>
      <c r="C248" s="8" t="s">
        <v>645</v>
      </c>
      <c r="D248" s="8"/>
      <c r="E248" s="8"/>
      <c r="F248" s="11">
        <f>Source!AM72</f>
        <v>485.28</v>
      </c>
      <c r="G248" s="28">
        <f>Source!DE72</f>
      </c>
      <c r="H248" s="8">
        <f>Source!AV72</f>
        <v>1.067</v>
      </c>
      <c r="I248" s="11">
        <f>ROUND((Source!CR72/IF(Source!BB72&lt;&gt;0,Source!BB72,1)*Source!I72),2)</f>
        <v>517.79</v>
      </c>
      <c r="J248" s="8">
        <f>Source!BB72</f>
        <v>6.9</v>
      </c>
      <c r="K248" s="11"/>
    </row>
    <row r="249" spans="1:12" ht="12.75">
      <c r="A249" s="8"/>
      <c r="B249" s="8"/>
      <c r="C249" s="8" t="s">
        <v>646</v>
      </c>
      <c r="D249" s="8"/>
      <c r="E249" s="8"/>
      <c r="F249" s="11">
        <f>Source!AN72</f>
        <v>87.73</v>
      </c>
      <c r="G249" s="28">
        <f>Source!DF72</f>
      </c>
      <c r="H249" s="8">
        <f>Source!AV72</f>
        <v>1.067</v>
      </c>
      <c r="I249" s="29" t="str">
        <f>CONCATENATE("(",TEXT(+ROUND((Source!CS72/IF(J249&lt;&gt;0,J249,1)*Source!I72),2),"0,00"),")")</f>
        <v>(93,61)</v>
      </c>
      <c r="J249" s="8">
        <f>Source!BS72</f>
        <v>13.09</v>
      </c>
      <c r="K249" s="29"/>
      <c r="L249">
        <f>ROUND(IF(J249&lt;&gt;0,Source!R72/J249,Source!R72),2)</f>
        <v>93.61</v>
      </c>
    </row>
    <row r="250" spans="1:11" ht="12.75">
      <c r="A250" s="8"/>
      <c r="B250" s="8"/>
      <c r="C250" s="8" t="s">
        <v>655</v>
      </c>
      <c r="D250" s="8"/>
      <c r="E250" s="8"/>
      <c r="F250" s="11">
        <f>Source!AL72</f>
        <v>1.12</v>
      </c>
      <c r="G250" s="8">
        <f>Source!DD72</f>
      </c>
      <c r="H250" s="8">
        <f>Source!AW72</f>
        <v>1.081</v>
      </c>
      <c r="I250" s="11">
        <f>ROUND((Source!CQ72/IF(Source!BC72&lt;&gt;0,Source!BC72,1)*Source!I72),2)</f>
        <v>1.21</v>
      </c>
      <c r="J250" s="8">
        <f>Source!BC72</f>
        <v>4.56</v>
      </c>
      <c r="K250" s="11"/>
    </row>
    <row r="251" spans="1:11" ht="12.75">
      <c r="A251" s="8"/>
      <c r="B251" s="8"/>
      <c r="C251" s="8" t="s">
        <v>647</v>
      </c>
      <c r="D251" s="8" t="s">
        <v>648</v>
      </c>
      <c r="E251" s="8">
        <f>Source!DN72</f>
        <v>112</v>
      </c>
      <c r="F251" s="8"/>
      <c r="G251" s="8"/>
      <c r="H251" s="8"/>
      <c r="I251" s="11">
        <f>ROUND((E251/100)*ROUND((Source!CT72/IF(Source!BA72&lt;&gt;0,Source!BA72,1)*Source!I72),2),2)</f>
        <v>161.85</v>
      </c>
      <c r="J251" s="8">
        <f>Source!AT72</f>
        <v>96</v>
      </c>
      <c r="K251" s="11"/>
    </row>
    <row r="252" spans="1:11" ht="12.75">
      <c r="A252" s="8"/>
      <c r="B252" s="8"/>
      <c r="C252" s="8" t="s">
        <v>649</v>
      </c>
      <c r="D252" s="8" t="s">
        <v>648</v>
      </c>
      <c r="E252" s="8">
        <f>Source!DO72</f>
        <v>70</v>
      </c>
      <c r="F252" s="8"/>
      <c r="G252" s="8"/>
      <c r="H252" s="8"/>
      <c r="I252" s="11">
        <f>ROUND((E252/100)*ROUND((Source!CT72/IF(Source!BA72&lt;&gt;0,Source!BA72,1)*Source!I72),2),2)</f>
        <v>101.16</v>
      </c>
      <c r="J252" s="8">
        <f>Source!AU72</f>
        <v>42</v>
      </c>
      <c r="K252" s="11"/>
    </row>
    <row r="253" spans="1:11" ht="12.75">
      <c r="A253" s="8"/>
      <c r="B253" s="8"/>
      <c r="C253" s="8" t="s">
        <v>650</v>
      </c>
      <c r="D253" s="8" t="s">
        <v>648</v>
      </c>
      <c r="E253" s="8">
        <v>175</v>
      </c>
      <c r="F253" s="8"/>
      <c r="G253" s="8"/>
      <c r="H253" s="8"/>
      <c r="I253" s="11">
        <f>ROUND(ROUND((Source!CS72/IF(Source!BS72&lt;&gt;0,Source!BS72,1)*Source!I72),2)*1.75,2)</f>
        <v>163.82</v>
      </c>
      <c r="J253" s="8">
        <v>167</v>
      </c>
      <c r="K253" s="11"/>
    </row>
    <row r="254" spans="1:11" ht="12.75">
      <c r="A254" s="30"/>
      <c r="B254" s="30"/>
      <c r="C254" s="30" t="s">
        <v>651</v>
      </c>
      <c r="D254" s="30" t="s">
        <v>652</v>
      </c>
      <c r="E254" s="30">
        <f>Source!AQ72</f>
        <v>8</v>
      </c>
      <c r="F254" s="30"/>
      <c r="G254" s="31">
        <f>Source!DI72</f>
      </c>
      <c r="H254" s="30">
        <f>Source!AV72</f>
        <v>1.067</v>
      </c>
      <c r="I254" s="32">
        <f>ROUND(Source!U72,2)</f>
        <v>8.54</v>
      </c>
      <c r="J254" s="30"/>
      <c r="K254" s="30"/>
    </row>
    <row r="255" spans="9:24" ht="12.75">
      <c r="I255" s="33">
        <f>ROUND((Source!CT72/IF(Source!BA72&lt;&gt;0,Source!BA72,1)*Source!I72),2)+ROUND((Source!CR72/IF(Source!BB72&lt;&gt;0,Source!BB72,1)*Source!I72),2)+ROUND((Source!CQ72/IF(Source!BC72&lt;&gt;0,Source!BC72,1)*Source!I72),2)+SUM(I251:I253)</f>
        <v>1090.34</v>
      </c>
      <c r="J255" s="34"/>
      <c r="K255" s="33"/>
      <c r="L255">
        <f>ROUND((Source!CT72/IF(Source!BA72&lt;&gt;0,Source!BA72,1)*Source!I72),2)</f>
        <v>144.51</v>
      </c>
      <c r="M255" s="12">
        <f>I255</f>
        <v>1090.34</v>
      </c>
      <c r="N255" s="12">
        <f>K255</f>
        <v>0</v>
      </c>
      <c r="O255">
        <f>ROUND(IF(Source!BI72=1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P255">
        <f>ROUND(IF(Source!BI72=2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1090.34</v>
      </c>
      <c r="Q255">
        <f>ROUND(IF(Source!BI72=3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R255">
        <f>ROUND(IF(Source!BI72=4,(ROUND((Source!CT72/IF(Source!BA72&lt;&gt;0,Source!BA72,1)*Source!I72),2)+ROUND((Source!CR72/IF(Source!BB72&lt;&gt;0,Source!BB72,1)*Source!I72),2)+ROUND((Source!CQ72/IF(Source!BC72&lt;&gt;0,Source!BC72,1)*Source!I72),2)+((Source!DN72/100)*ROUND((Source!CT72/IF(Source!BA72&lt;&gt;0,Source!BA72,1)*Source!I72),2))+((Source!DO72/100)*ROUND((Source!CT72/IF(Source!BA72&lt;&gt;0,Source!BA72,1)*Source!I72),2))+(ROUND((Source!CS72/IF(Source!BS72&lt;&gt;0,Source!BS72,1)*Source!I72),2)*1.75)),0),2)</f>
        <v>0</v>
      </c>
      <c r="U255">
        <f>IF(Source!BI72=1,Source!O72+Source!X72+Source!Y72+Source!R72*167/100,0)</f>
        <v>0</v>
      </c>
      <c r="V255">
        <f>IF(Source!BI72=2,Source!O72+Source!X72+Source!Y72+Source!R72*167/100,0)</f>
        <v>10126.821100000001</v>
      </c>
      <c r="W255">
        <f>IF(Source!BI72=3,Source!O72+Source!X72+Source!Y72+Source!R72*167/100,0)</f>
        <v>0</v>
      </c>
      <c r="X255">
        <f>IF(Source!BI72=4,Source!O72+Source!X72+Source!Y72+Source!R72*167/100,0)</f>
        <v>0</v>
      </c>
    </row>
    <row r="256" spans="1:25" ht="60">
      <c r="A256" s="26" t="str">
        <f>Source!E73</f>
        <v>25</v>
      </c>
      <c r="B256" s="26" t="s">
        <v>656</v>
      </c>
      <c r="C256" s="9" t="str">
        <f>Source!G73</f>
        <v>ИЗМЕРЕНИЕ НА СМОНТИРОВАННОМ УЧАСТКЕ ОПТИЧЕСКОГО КАБЕЛЯ ГТС В ДВУХ НАПРАВЛЕНИЯХ С ЧИСЛОМ ВОЛОКОН 4</v>
      </c>
      <c r="D256" s="27" t="str">
        <f>Source!H73</f>
        <v>участок цепи</v>
      </c>
      <c r="E256" s="8">
        <f>ROUND(Source!I73,6)</f>
        <v>1</v>
      </c>
      <c r="F256" s="8"/>
      <c r="G256" s="8"/>
      <c r="H256" s="8"/>
      <c r="I256" s="8"/>
      <c r="J256" s="8"/>
      <c r="K256" s="8"/>
      <c r="Y256">
        <v>25</v>
      </c>
    </row>
    <row r="257" spans="1:11" ht="12.75">
      <c r="A257" s="8"/>
      <c r="B257" s="8"/>
      <c r="C257" s="8" t="s">
        <v>644</v>
      </c>
      <c r="D257" s="8"/>
      <c r="E257" s="8"/>
      <c r="F257" s="11">
        <f>Source!AO73</f>
        <v>84.65</v>
      </c>
      <c r="G257" s="28" t="str">
        <f>Source!DG73</f>
        <v>)*2</v>
      </c>
      <c r="H257" s="8">
        <f>Source!AV73</f>
        <v>1.067</v>
      </c>
      <c r="I257" s="11">
        <f>ROUND((Source!CT73/IF(Source!BA73&lt;&gt;0,Source!BA73,1)*Source!I73),2)</f>
        <v>180.64</v>
      </c>
      <c r="J257" s="8">
        <f>Source!BA73</f>
        <v>13.09</v>
      </c>
      <c r="K257" s="11"/>
    </row>
    <row r="258" spans="1:11" ht="12.75">
      <c r="A258" s="8"/>
      <c r="B258" s="8"/>
      <c r="C258" s="8" t="s">
        <v>645</v>
      </c>
      <c r="D258" s="8"/>
      <c r="E258" s="8"/>
      <c r="F258" s="11">
        <f>Source!AM73</f>
        <v>340.21</v>
      </c>
      <c r="G258" s="28" t="str">
        <f>Source!DE73</f>
        <v>)*2</v>
      </c>
      <c r="H258" s="8">
        <f>Source!AV73</f>
        <v>1.067</v>
      </c>
      <c r="I258" s="11">
        <f>ROUND((Source!CR73/IF(Source!BB73&lt;&gt;0,Source!BB73,1)*Source!I73),2)</f>
        <v>726.01</v>
      </c>
      <c r="J258" s="8">
        <f>Source!BB73</f>
        <v>6.9</v>
      </c>
      <c r="K258" s="11"/>
    </row>
    <row r="259" spans="1:12" ht="12.75">
      <c r="A259" s="8"/>
      <c r="B259" s="8"/>
      <c r="C259" s="8" t="s">
        <v>646</v>
      </c>
      <c r="D259" s="8"/>
      <c r="E259" s="8"/>
      <c r="F259" s="11">
        <f>Source!AN73</f>
        <v>61.51</v>
      </c>
      <c r="G259" s="28" t="str">
        <f>Source!DF73</f>
        <v>)*2</v>
      </c>
      <c r="H259" s="8">
        <f>Source!AV73</f>
        <v>1.067</v>
      </c>
      <c r="I259" s="29" t="str">
        <f>CONCATENATE("(",TEXT(+ROUND((Source!CS73/IF(J259&lt;&gt;0,J259,1)*Source!I73),2),"0,00"),")")</f>
        <v>(131,26)</v>
      </c>
      <c r="J259" s="8">
        <f>Source!BS73</f>
        <v>13.09</v>
      </c>
      <c r="K259" s="29"/>
      <c r="L259">
        <f>ROUND(IF(J259&lt;&gt;0,Source!R73/J259,Source!R73),2)</f>
        <v>131.26</v>
      </c>
    </row>
    <row r="260" spans="1:11" ht="12.75">
      <c r="A260" s="8"/>
      <c r="B260" s="8"/>
      <c r="C260" s="8" t="s">
        <v>655</v>
      </c>
      <c r="D260" s="8"/>
      <c r="E260" s="8"/>
      <c r="F260" s="11">
        <f>Source!AL73</f>
        <v>0.77</v>
      </c>
      <c r="G260" s="8" t="str">
        <f>Source!DD73</f>
        <v>)*2</v>
      </c>
      <c r="H260" s="8">
        <f>Source!AW73</f>
        <v>1.081</v>
      </c>
      <c r="I260" s="11">
        <f>ROUND((Source!CQ73/IF(Source!BC73&lt;&gt;0,Source!BC73,1)*Source!I73),2)</f>
        <v>1.66</v>
      </c>
      <c r="J260" s="8">
        <f>Source!BC73</f>
        <v>4.56</v>
      </c>
      <c r="K260" s="11"/>
    </row>
    <row r="261" spans="1:11" ht="12.75">
      <c r="A261" s="8"/>
      <c r="B261" s="8"/>
      <c r="C261" s="8" t="s">
        <v>647</v>
      </c>
      <c r="D261" s="8" t="s">
        <v>648</v>
      </c>
      <c r="E261" s="8">
        <f>Source!DN73</f>
        <v>112</v>
      </c>
      <c r="F261" s="8"/>
      <c r="G261" s="8"/>
      <c r="H261" s="8"/>
      <c r="I261" s="11">
        <f>ROUND((E261/100)*ROUND((Source!CT73/IF(Source!BA73&lt;&gt;0,Source!BA73,1)*Source!I73),2),2)</f>
        <v>202.32</v>
      </c>
      <c r="J261" s="8">
        <f>Source!AT73</f>
        <v>96</v>
      </c>
      <c r="K261" s="11"/>
    </row>
    <row r="262" spans="1:11" ht="12.75">
      <c r="A262" s="8"/>
      <c r="B262" s="8"/>
      <c r="C262" s="8" t="s">
        <v>649</v>
      </c>
      <c r="D262" s="8" t="s">
        <v>648</v>
      </c>
      <c r="E262" s="8">
        <f>Source!DO73</f>
        <v>70</v>
      </c>
      <c r="F262" s="8"/>
      <c r="G262" s="8"/>
      <c r="H262" s="8"/>
      <c r="I262" s="11">
        <f>ROUND((E262/100)*ROUND((Source!CT73/IF(Source!BA73&lt;&gt;0,Source!BA73,1)*Source!I73),2),2)</f>
        <v>126.45</v>
      </c>
      <c r="J262" s="8">
        <f>Source!AU73</f>
        <v>42</v>
      </c>
      <c r="K262" s="11"/>
    </row>
    <row r="263" spans="1:11" ht="12.75">
      <c r="A263" s="8"/>
      <c r="B263" s="8"/>
      <c r="C263" s="8" t="s">
        <v>650</v>
      </c>
      <c r="D263" s="8" t="s">
        <v>648</v>
      </c>
      <c r="E263" s="8">
        <v>175</v>
      </c>
      <c r="F263" s="8"/>
      <c r="G263" s="8"/>
      <c r="H263" s="8"/>
      <c r="I263" s="11">
        <f>ROUND(ROUND((Source!CS73/IF(Source!BS73&lt;&gt;0,Source!BS73,1)*Source!I73),2)*1.75,2)</f>
        <v>229.71</v>
      </c>
      <c r="J263" s="8">
        <v>167</v>
      </c>
      <c r="K263" s="11"/>
    </row>
    <row r="264" spans="1:11" ht="12.75">
      <c r="A264" s="30"/>
      <c r="B264" s="30"/>
      <c r="C264" s="30" t="s">
        <v>651</v>
      </c>
      <c r="D264" s="30" t="s">
        <v>652</v>
      </c>
      <c r="E264" s="30">
        <f>Source!AQ73</f>
        <v>5</v>
      </c>
      <c r="F264" s="30"/>
      <c r="G264" s="31" t="str">
        <f>Source!DI73</f>
        <v>)*2</v>
      </c>
      <c r="H264" s="30">
        <f>Source!AV73</f>
        <v>1.067</v>
      </c>
      <c r="I264" s="32">
        <f>ROUND(Source!U73,2)</f>
        <v>10.67</v>
      </c>
      <c r="J264" s="30"/>
      <c r="K264" s="30"/>
    </row>
    <row r="265" spans="9:24" ht="12.75">
      <c r="I265" s="33">
        <f>ROUND((Source!CT73/IF(Source!BA73&lt;&gt;0,Source!BA73,1)*Source!I73),2)+ROUND((Source!CR73/IF(Source!BB73&lt;&gt;0,Source!BB73,1)*Source!I73),2)+ROUND((Source!CQ73/IF(Source!BC73&lt;&gt;0,Source!BC73,1)*Source!I73),2)+SUM(I261:I263)</f>
        <v>1466.79</v>
      </c>
      <c r="J265" s="34"/>
      <c r="K265" s="33"/>
      <c r="L265">
        <f>ROUND((Source!CT73/IF(Source!BA73&lt;&gt;0,Source!BA73,1)*Source!I73),2)</f>
        <v>180.64</v>
      </c>
      <c r="M265" s="12">
        <f>I265</f>
        <v>1466.79</v>
      </c>
      <c r="N265" s="12">
        <f>K265</f>
        <v>0</v>
      </c>
      <c r="O265">
        <f>ROUND(IF(Source!BI73=1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P265">
        <f>ROUND(IF(Source!BI73=2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1466.78</v>
      </c>
      <c r="Q265">
        <f>ROUND(IF(Source!BI73=3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R265">
        <f>ROUND(IF(Source!BI73=4,(ROUND((Source!CT73/IF(Source!BA73&lt;&gt;0,Source!BA73,1)*Source!I73),2)+ROUND((Source!CR73/IF(Source!BB73&lt;&gt;0,Source!BB73,1)*Source!I73),2)+ROUND((Source!CQ73/IF(Source!BC73&lt;&gt;0,Source!BC73,1)*Source!I73),2)+((Source!DN73/100)*ROUND((Source!CT73/IF(Source!BA73&lt;&gt;0,Source!BA73,1)*Source!I73),2))+((Source!DO73/100)*ROUND((Source!CT73/IF(Source!BA73&lt;&gt;0,Source!BA73,1)*Source!I73),2))+(ROUND((Source!CS73/IF(Source!BS73&lt;&gt;0,Source!BS73,1)*Source!I73),2)*1.75)),0),2)</f>
        <v>0</v>
      </c>
      <c r="U265">
        <f>IF(Source!BI73=1,Source!O73+Source!X73+Source!Y73+Source!R73*167/100,0)</f>
        <v>0</v>
      </c>
      <c r="V265">
        <f>IF(Source!BI73=2,Source!O73+Source!X73+Source!Y73+Source!R73*167/100,0)</f>
        <v>13514.277399999999</v>
      </c>
      <c r="W265">
        <f>IF(Source!BI73=3,Source!O73+Source!X73+Source!Y73+Source!R73*167/100,0)</f>
        <v>0</v>
      </c>
      <c r="X265">
        <f>IF(Source!BI73=4,Source!O73+Source!X73+Source!Y73+Source!R73*167/100,0)</f>
        <v>0</v>
      </c>
    </row>
    <row r="266" spans="1:25" ht="48">
      <c r="A266" s="26" t="str">
        <f>Source!E74</f>
        <v>26</v>
      </c>
      <c r="B266" s="26" t="s">
        <v>657</v>
      </c>
      <c r="C266" s="9" t="str">
        <f>Source!G74</f>
        <v>ИЗМЕРЕНИЕ НА ПРОЛОЖЕННЫХ СТРОИТЕЛЬНЫХ  ДЛИНАХ ОПТИЧЕСКОГО КАБЕЛЯ ГТС  С ЧИСЛОМ ВОЛОКОН 4</v>
      </c>
      <c r="D266" s="27" t="str">
        <f>Source!H74</f>
        <v>участок цепи</v>
      </c>
      <c r="E266" s="8">
        <f>ROUND(Source!I74,6)</f>
        <v>1</v>
      </c>
      <c r="F266" s="8"/>
      <c r="G266" s="8"/>
      <c r="H266" s="8"/>
      <c r="I266" s="8"/>
      <c r="J266" s="8"/>
      <c r="K266" s="8"/>
      <c r="Y266">
        <v>26</v>
      </c>
    </row>
    <row r="267" spans="1:11" ht="12.75">
      <c r="A267" s="8"/>
      <c r="B267" s="8"/>
      <c r="C267" s="8" t="s">
        <v>644</v>
      </c>
      <c r="D267" s="8"/>
      <c r="E267" s="8"/>
      <c r="F267" s="11">
        <f>Source!AO74</f>
        <v>84.65</v>
      </c>
      <c r="G267" s="28" t="str">
        <f>Source!DG74</f>
        <v>)*0,9</v>
      </c>
      <c r="H267" s="8">
        <f>Source!AV74</f>
        <v>1.067</v>
      </c>
      <c r="I267" s="11">
        <f>ROUND((Source!CT74/IF(Source!BA74&lt;&gt;0,Source!BA74,1)*Source!I74),2)</f>
        <v>81.29</v>
      </c>
      <c r="J267" s="8">
        <f>Source!BA74</f>
        <v>13.09</v>
      </c>
      <c r="K267" s="11"/>
    </row>
    <row r="268" spans="1:11" ht="12.75">
      <c r="A268" s="8"/>
      <c r="B268" s="8"/>
      <c r="C268" s="8" t="s">
        <v>645</v>
      </c>
      <c r="D268" s="8"/>
      <c r="E268" s="8"/>
      <c r="F268" s="11">
        <f>Source!AM74</f>
        <v>340.21</v>
      </c>
      <c r="G268" s="28" t="str">
        <f>Source!DE74</f>
        <v>)*0,9</v>
      </c>
      <c r="H268" s="8">
        <f>Source!AV74</f>
        <v>1.067</v>
      </c>
      <c r="I268" s="11">
        <f>ROUND((Source!CR74/IF(Source!BB74&lt;&gt;0,Source!BB74,1)*Source!I74),2)</f>
        <v>326.7</v>
      </c>
      <c r="J268" s="8">
        <f>Source!BB74</f>
        <v>6.9</v>
      </c>
      <c r="K268" s="11"/>
    </row>
    <row r="269" spans="1:12" ht="12.75">
      <c r="A269" s="8"/>
      <c r="B269" s="8"/>
      <c r="C269" s="8" t="s">
        <v>646</v>
      </c>
      <c r="D269" s="8"/>
      <c r="E269" s="8"/>
      <c r="F269" s="11">
        <f>Source!AN74</f>
        <v>61.51</v>
      </c>
      <c r="G269" s="28" t="str">
        <f>Source!DF74</f>
        <v>)*0,9</v>
      </c>
      <c r="H269" s="8">
        <f>Source!AV74</f>
        <v>1.067</v>
      </c>
      <c r="I269" s="29" t="str">
        <f>CONCATENATE("(",TEXT(+ROUND((Source!CS74/IF(J269&lt;&gt;0,J269,1)*Source!I74),2),"0,00"),")")</f>
        <v>(59,07)</v>
      </c>
      <c r="J269" s="8">
        <f>Source!BS74</f>
        <v>13.09</v>
      </c>
      <c r="K269" s="29"/>
      <c r="L269">
        <f>ROUND(IF(J269&lt;&gt;0,Source!R74/J269,Source!R74),2)</f>
        <v>59.07</v>
      </c>
    </row>
    <row r="270" spans="1:11" ht="12.75">
      <c r="A270" s="8"/>
      <c r="B270" s="8"/>
      <c r="C270" s="8" t="s">
        <v>655</v>
      </c>
      <c r="D270" s="8"/>
      <c r="E270" s="8"/>
      <c r="F270" s="11">
        <f>Source!AL74</f>
        <v>0.77</v>
      </c>
      <c r="G270" s="8" t="str">
        <f>Source!DD74</f>
        <v>)*0,9</v>
      </c>
      <c r="H270" s="8">
        <f>Source!AW74</f>
        <v>1.081</v>
      </c>
      <c r="I270" s="11">
        <f>ROUND((Source!CQ74/IF(Source!BC74&lt;&gt;0,Source!BC74,1)*Source!I74),2)</f>
        <v>0.75</v>
      </c>
      <c r="J270" s="8">
        <f>Source!BC74</f>
        <v>4.56</v>
      </c>
      <c r="K270" s="11"/>
    </row>
    <row r="271" spans="1:11" ht="12.75">
      <c r="A271" s="8"/>
      <c r="B271" s="8"/>
      <c r="C271" s="8" t="s">
        <v>647</v>
      </c>
      <c r="D271" s="8" t="s">
        <v>648</v>
      </c>
      <c r="E271" s="8">
        <f>Source!DN74</f>
        <v>112</v>
      </c>
      <c r="F271" s="8"/>
      <c r="G271" s="8"/>
      <c r="H271" s="8"/>
      <c r="I271" s="11">
        <f>ROUND((E271/100)*ROUND((Source!CT74/IF(Source!BA74&lt;&gt;0,Source!BA74,1)*Source!I74),2),2)</f>
        <v>91.04</v>
      </c>
      <c r="J271" s="8">
        <f>Source!AT74</f>
        <v>96</v>
      </c>
      <c r="K271" s="11"/>
    </row>
    <row r="272" spans="1:11" ht="12.75">
      <c r="A272" s="8"/>
      <c r="B272" s="8"/>
      <c r="C272" s="8" t="s">
        <v>649</v>
      </c>
      <c r="D272" s="8" t="s">
        <v>648</v>
      </c>
      <c r="E272" s="8">
        <f>Source!DO74</f>
        <v>70</v>
      </c>
      <c r="F272" s="8"/>
      <c r="G272" s="8"/>
      <c r="H272" s="8"/>
      <c r="I272" s="11">
        <f>ROUND((E272/100)*ROUND((Source!CT74/IF(Source!BA74&lt;&gt;0,Source!BA74,1)*Source!I74),2),2)</f>
        <v>56.9</v>
      </c>
      <c r="J272" s="8">
        <f>Source!AU74</f>
        <v>42</v>
      </c>
      <c r="K272" s="11"/>
    </row>
    <row r="273" spans="1:11" ht="12.75">
      <c r="A273" s="8"/>
      <c r="B273" s="8"/>
      <c r="C273" s="8" t="s">
        <v>650</v>
      </c>
      <c r="D273" s="8" t="s">
        <v>648</v>
      </c>
      <c r="E273" s="8">
        <v>175</v>
      </c>
      <c r="F273" s="8"/>
      <c r="G273" s="8"/>
      <c r="H273" s="8"/>
      <c r="I273" s="11">
        <f>ROUND(ROUND((Source!CS74/IF(Source!BS74&lt;&gt;0,Source!BS74,1)*Source!I74),2)*1.75,2)</f>
        <v>103.37</v>
      </c>
      <c r="J273" s="8">
        <v>167</v>
      </c>
      <c r="K273" s="11"/>
    </row>
    <row r="274" spans="1:11" ht="12.75">
      <c r="A274" s="30"/>
      <c r="B274" s="30"/>
      <c r="C274" s="30" t="s">
        <v>651</v>
      </c>
      <c r="D274" s="30" t="s">
        <v>652</v>
      </c>
      <c r="E274" s="30">
        <f>Source!AQ74</f>
        <v>5</v>
      </c>
      <c r="F274" s="30"/>
      <c r="G274" s="31" t="str">
        <f>Source!DI74</f>
        <v>)*0,9</v>
      </c>
      <c r="H274" s="30">
        <f>Source!AV74</f>
        <v>1.067</v>
      </c>
      <c r="I274" s="32">
        <f>ROUND(Source!U74,2)</f>
        <v>4.8</v>
      </c>
      <c r="J274" s="30"/>
      <c r="K274" s="30"/>
    </row>
    <row r="275" spans="9:24" ht="12.75">
      <c r="I275" s="33">
        <f>ROUND((Source!CT74/IF(Source!BA74&lt;&gt;0,Source!BA74,1)*Source!I74),2)+ROUND((Source!CR74/IF(Source!BB74&lt;&gt;0,Source!BB74,1)*Source!I74),2)+ROUND((Source!CQ74/IF(Source!BC74&lt;&gt;0,Source!BC74,1)*Source!I74),2)+SUM(I271:I273)</f>
        <v>660.05</v>
      </c>
      <c r="J275" s="34"/>
      <c r="K275" s="33"/>
      <c r="L275">
        <f>ROUND((Source!CT74/IF(Source!BA74&lt;&gt;0,Source!BA74,1)*Source!I74),2)</f>
        <v>81.29</v>
      </c>
      <c r="M275" s="12">
        <f>I275</f>
        <v>660.05</v>
      </c>
      <c r="N275" s="12">
        <f>K275</f>
        <v>0</v>
      </c>
      <c r="O275">
        <f>ROUND(IF(Source!BI74=1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P275">
        <f>ROUND(IF(Source!BI74=2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660.06</v>
      </c>
      <c r="Q275">
        <f>ROUND(IF(Source!BI74=3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R275">
        <f>ROUND(IF(Source!BI74=4,(ROUND((Source!CT74/IF(Source!BA74&lt;&gt;0,Source!BA74,1)*Source!I74),2)+ROUND((Source!CR74/IF(Source!BB74&lt;&gt;0,Source!BB74,1)*Source!I74),2)+ROUND((Source!CQ74/IF(Source!BC74&lt;&gt;0,Source!BC74,1)*Source!I74),2)+((Source!DN74/100)*ROUND((Source!CT74/IF(Source!BA74&lt;&gt;0,Source!BA74,1)*Source!I74),2))+((Source!DO74/100)*ROUND((Source!CT74/IF(Source!BA74&lt;&gt;0,Source!BA74,1)*Source!I74),2))+(ROUND((Source!CS74/IF(Source!BS74&lt;&gt;0,Source!BS74,1)*Source!I74),2)*1.75)),0),2)</f>
        <v>0</v>
      </c>
      <c r="U275">
        <f>IF(Source!BI74=1,Source!O74+Source!X74+Source!Y74+Source!R74*167/100,0)</f>
        <v>0</v>
      </c>
      <c r="V275">
        <f>IF(Source!BI74=2,Source!O74+Source!X74+Source!Y74+Source!R74*167/100,0)</f>
        <v>6081.434000000001</v>
      </c>
      <c r="W275">
        <f>IF(Source!BI74=3,Source!O74+Source!X74+Source!Y74+Source!R74*167/100,0)</f>
        <v>0</v>
      </c>
      <c r="X275">
        <f>IF(Source!BI74=4,Source!O74+Source!X74+Source!Y74+Source!R74*167/100,0)</f>
        <v>0</v>
      </c>
    </row>
    <row r="276" spans="1:25" ht="12.75">
      <c r="A276" s="26" t="str">
        <f>Source!E75</f>
        <v>27</v>
      </c>
      <c r="B276" s="26" t="str">
        <f>Source!F75</f>
        <v>4.10-69-6</v>
      </c>
      <c r="C276" s="9" t="str">
        <f>Source!G75</f>
        <v>МОНТАЖ ДВП</v>
      </c>
      <c r="D276" s="27" t="str">
        <f>Source!H75</f>
        <v>шт.</v>
      </c>
      <c r="E276" s="8">
        <f>ROUND(Source!I75,6)</f>
        <v>1</v>
      </c>
      <c r="F276" s="8"/>
      <c r="G276" s="8"/>
      <c r="H276" s="8"/>
      <c r="I276" s="8"/>
      <c r="J276" s="8"/>
      <c r="K276" s="8"/>
      <c r="Y276">
        <v>27</v>
      </c>
    </row>
    <row r="277" spans="1:11" ht="12.75">
      <c r="A277" s="8"/>
      <c r="B277" s="8"/>
      <c r="C277" s="8" t="s">
        <v>644</v>
      </c>
      <c r="D277" s="8"/>
      <c r="E277" s="8"/>
      <c r="F277" s="11">
        <f>Source!AO75</f>
        <v>69.66</v>
      </c>
      <c r="G277" s="28">
        <f>Source!DG75</f>
      </c>
      <c r="H277" s="8">
        <f>Source!AV75</f>
        <v>1.047</v>
      </c>
      <c r="I277" s="11">
        <f>ROUND((Source!CT75/IF(Source!BA75&lt;&gt;0,Source!BA75,1)*Source!I75),2)</f>
        <v>72.93</v>
      </c>
      <c r="J277" s="8">
        <f>Source!BA75</f>
        <v>13.09</v>
      </c>
      <c r="K277" s="11"/>
    </row>
    <row r="278" spans="1:11" ht="12.75">
      <c r="A278" s="8"/>
      <c r="B278" s="8"/>
      <c r="C278" s="8" t="s">
        <v>655</v>
      </c>
      <c r="D278" s="8"/>
      <c r="E278" s="8"/>
      <c r="F278" s="11">
        <f>Source!AL75</f>
        <v>6.09</v>
      </c>
      <c r="G278" s="8">
        <f>Source!DD75</f>
      </c>
      <c r="H278" s="8">
        <f>Source!AW75</f>
        <v>1</v>
      </c>
      <c r="I278" s="11">
        <f>ROUND((Source!CQ75/IF(Source!BC75&lt;&gt;0,Source!BC75,1)*Source!I75),2)</f>
        <v>6.09</v>
      </c>
      <c r="J278" s="8">
        <f>Source!BC75</f>
        <v>4.56</v>
      </c>
      <c r="K278" s="11"/>
    </row>
    <row r="279" spans="1:11" ht="12.75">
      <c r="A279" s="8"/>
      <c r="B279" s="8"/>
      <c r="C279" s="8" t="s">
        <v>647</v>
      </c>
      <c r="D279" s="8" t="s">
        <v>648</v>
      </c>
      <c r="E279" s="8">
        <f>Source!DN75</f>
        <v>112</v>
      </c>
      <c r="F279" s="8"/>
      <c r="G279" s="8"/>
      <c r="H279" s="8"/>
      <c r="I279" s="11">
        <f>ROUND((E279/100)*ROUND((Source!CT75/IF(Source!BA75&lt;&gt;0,Source!BA75,1)*Source!I75),2),2)</f>
        <v>81.68</v>
      </c>
      <c r="J279" s="8">
        <f>Source!AT75</f>
        <v>96</v>
      </c>
      <c r="K279" s="11"/>
    </row>
    <row r="280" spans="1:11" ht="12.75">
      <c r="A280" s="8"/>
      <c r="B280" s="8"/>
      <c r="C280" s="8" t="s">
        <v>649</v>
      </c>
      <c r="D280" s="8" t="s">
        <v>648</v>
      </c>
      <c r="E280" s="8">
        <f>Source!DO75</f>
        <v>70</v>
      </c>
      <c r="F280" s="8"/>
      <c r="G280" s="8"/>
      <c r="H280" s="8"/>
      <c r="I280" s="11">
        <f>ROUND((E280/100)*ROUND((Source!CT75/IF(Source!BA75&lt;&gt;0,Source!BA75,1)*Source!I75),2),2)</f>
        <v>51.05</v>
      </c>
      <c r="J280" s="8">
        <f>Source!AU75</f>
        <v>42</v>
      </c>
      <c r="K280" s="11"/>
    </row>
    <row r="281" spans="1:11" ht="12.75">
      <c r="A281" s="30"/>
      <c r="B281" s="30"/>
      <c r="C281" s="30" t="s">
        <v>651</v>
      </c>
      <c r="D281" s="30" t="s">
        <v>652</v>
      </c>
      <c r="E281" s="30">
        <f>Source!AQ75</f>
        <v>6</v>
      </c>
      <c r="F281" s="30"/>
      <c r="G281" s="31">
        <f>Source!DI75</f>
      </c>
      <c r="H281" s="30">
        <f>Source!AV75</f>
        <v>1.047</v>
      </c>
      <c r="I281" s="32">
        <f>ROUND(Source!U75,2)</f>
        <v>6.28</v>
      </c>
      <c r="J281" s="30"/>
      <c r="K281" s="30"/>
    </row>
    <row r="282" spans="9:24" ht="12.75">
      <c r="I282" s="33">
        <f>ROUND((Source!CT75/IF(Source!BA75&lt;&gt;0,Source!BA75,1)*Source!I75),2)+ROUND((Source!CR75/IF(Source!BB75&lt;&gt;0,Source!BB75,1)*Source!I75),2)+ROUND((Source!CQ75/IF(Source!BC75&lt;&gt;0,Source!BC75,1)*Source!I75),2)+SUM(I279:I280)</f>
        <v>211.75000000000003</v>
      </c>
      <c r="J282" s="34"/>
      <c r="K282" s="33"/>
      <c r="L282">
        <f>ROUND((Source!CT75/IF(Source!BA75&lt;&gt;0,Source!BA75,1)*Source!I75),2)</f>
        <v>72.93</v>
      </c>
      <c r="M282" s="12">
        <f>I282</f>
        <v>211.75000000000003</v>
      </c>
      <c r="N282" s="12">
        <f>K282</f>
        <v>0</v>
      </c>
      <c r="O282">
        <f>ROUND(IF(Source!BI75=1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P282">
        <f>ROUND(IF(Source!BI75=2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211.75</v>
      </c>
      <c r="Q282">
        <f>ROUND(IF(Source!BI75=3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R282">
        <f>ROUND(IF(Source!BI75=4,(ROUND((Source!CT75/IF(Source!BA75&lt;&gt;0,Source!BA75,1)*Source!I75),2)+ROUND((Source!CR75/IF(Source!BB75&lt;&gt;0,Source!BB75,1)*Source!I75),2)+ROUND((Source!CQ75/IF(Source!BC75&lt;&gt;0,Source!BC75,1)*Source!I75),2)+((Source!DN75/100)*ROUND((Source!CT75/IF(Source!BA75&lt;&gt;0,Source!BA75,1)*Source!I75),2))+((Source!DO75/100)*ROUND((Source!CT75/IF(Source!BA75&lt;&gt;0,Source!BA75,1)*Source!I75),2))+(ROUND((Source!CS75/IF(Source!BS75&lt;&gt;0,Source!BS75,1)*Source!I75),2)*1.75)),0),2)</f>
        <v>0</v>
      </c>
      <c r="U282">
        <f>IF(Source!BI75=1,Source!O75+Source!X75+Source!Y75+Source!R75*167/100,0)</f>
        <v>0</v>
      </c>
      <c r="V282">
        <f>IF(Source!BI75=2,Source!O75+Source!X75+Source!Y75+Source!R75*167/100,0)</f>
        <v>2299.98</v>
      </c>
      <c r="W282">
        <f>IF(Source!BI75=3,Source!O75+Source!X75+Source!Y75+Source!R75*167/100,0)</f>
        <v>0</v>
      </c>
      <c r="X282">
        <f>IF(Source!BI75=4,Source!O75+Source!X75+Source!Y75+Source!R75*167/100,0)</f>
        <v>0</v>
      </c>
    </row>
    <row r="283" spans="1:25" ht="36">
      <c r="A283" s="26" t="str">
        <f>Source!E76</f>
        <v>28</v>
      </c>
      <c r="B283" s="26" t="str">
        <f>Source!F76</f>
        <v>2.1-4-18</v>
      </c>
      <c r="C283" s="9" t="str">
        <f>Source!G76</f>
        <v>ВЫШКИ ТЕЛЕСКОПИЧЕСКИЕ НА АВТОМОБИЛЕ, ВЫСОТА ДО 12 М, ГPУЗОПОДЪЕМНОСТЬ ДО 250 КГ</v>
      </c>
      <c r="D283" s="27" t="str">
        <f>Source!H76</f>
        <v>маш.-ч</v>
      </c>
      <c r="E283" s="8">
        <f>ROUND(Source!I76,6)</f>
        <v>4</v>
      </c>
      <c r="F283" s="8"/>
      <c r="G283" s="8"/>
      <c r="H283" s="8"/>
      <c r="I283" s="8"/>
      <c r="J283" s="8"/>
      <c r="K283" s="8"/>
      <c r="Y283">
        <v>28</v>
      </c>
    </row>
    <row r="284" spans="1:11" ht="12.75">
      <c r="A284" s="8"/>
      <c r="B284" s="8"/>
      <c r="C284" s="8" t="s">
        <v>645</v>
      </c>
      <c r="D284" s="8"/>
      <c r="E284" s="8"/>
      <c r="F284" s="11">
        <f>Source!AM76</f>
        <v>108.23</v>
      </c>
      <c r="G284" s="28">
        <f>Source!DE76</f>
      </c>
      <c r="H284" s="8">
        <f>Source!AV76</f>
        <v>1</v>
      </c>
      <c r="I284" s="11">
        <f>ROUND((Source!CR76/IF(Source!BB76&lt;&gt;0,Source!BB76,1)*Source!I76),2)</f>
        <v>432.92</v>
      </c>
      <c r="J284" s="8">
        <f>Source!BB76</f>
        <v>5.03</v>
      </c>
      <c r="K284" s="11"/>
    </row>
    <row r="285" spans="1:12" ht="12.75">
      <c r="A285" s="8"/>
      <c r="B285" s="8"/>
      <c r="C285" s="8" t="s">
        <v>646</v>
      </c>
      <c r="D285" s="8"/>
      <c r="E285" s="8"/>
      <c r="F285" s="11">
        <f>Source!AN76</f>
        <v>25.71</v>
      </c>
      <c r="G285" s="28">
        <f>Source!DF76</f>
      </c>
      <c r="H285" s="8">
        <f>Source!AV76</f>
        <v>1</v>
      </c>
      <c r="I285" s="29" t="str">
        <f>CONCATENATE("(",TEXT(+ROUND((Source!CS76/IF(J285&lt;&gt;0,J285,1)*Source!I76),2),"0,00"),")")</f>
        <v>(102,84)</v>
      </c>
      <c r="J285" s="8">
        <f>Source!BS76</f>
        <v>13.09</v>
      </c>
      <c r="K285" s="29"/>
      <c r="L285">
        <f>ROUND(IF(J285&lt;&gt;0,Source!R76/J285,Source!R76),2)</f>
        <v>102.84</v>
      </c>
    </row>
    <row r="286" spans="1:11" ht="12.75">
      <c r="A286" s="30"/>
      <c r="B286" s="30"/>
      <c r="C286" s="30" t="s">
        <v>650</v>
      </c>
      <c r="D286" s="30" t="s">
        <v>648</v>
      </c>
      <c r="E286" s="30">
        <v>175</v>
      </c>
      <c r="F286" s="30"/>
      <c r="G286" s="30"/>
      <c r="H286" s="30"/>
      <c r="I286" s="32">
        <f>ROUND(ROUND((Source!CS76/IF(Source!BS76&lt;&gt;0,Source!BS76,1)*Source!I76),2)*1.75,2)</f>
        <v>179.97</v>
      </c>
      <c r="J286" s="30">
        <v>167</v>
      </c>
      <c r="K286" s="32"/>
    </row>
    <row r="287" spans="9:24" ht="12.75">
      <c r="I287" s="33">
        <f>ROUND((Source!CT76/IF(Source!BA76&lt;&gt;0,Source!BA76,1)*Source!I76),2)+ROUND((Source!CR76/IF(Source!BB76&lt;&gt;0,Source!BB76,1)*Source!I76),2)+ROUND((Source!CQ76/IF(Source!BC76&lt;&gt;0,Source!BC76,1)*Source!I76),2)+SUM(I286:I286)</f>
        <v>612.89</v>
      </c>
      <c r="J287" s="34"/>
      <c r="K287" s="33"/>
      <c r="L287">
        <f>ROUND((Source!CT76/IF(Source!BA76&lt;&gt;0,Source!BA76,1)*Source!I76),2)</f>
        <v>0</v>
      </c>
      <c r="M287" s="12">
        <f>I287</f>
        <v>612.89</v>
      </c>
      <c r="N287" s="12">
        <f>K287</f>
        <v>0</v>
      </c>
      <c r="O287">
        <f>ROUND(IF(Source!BI76=1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P287">
        <f>ROUND(IF(Source!BI76=2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612.89</v>
      </c>
      <c r="Q287">
        <f>ROUND(IF(Source!BI76=3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R287">
        <f>ROUND(IF(Source!BI76=4,(ROUND((Source!CT76/IF(Source!BA76&lt;&gt;0,Source!BA76,1)*Source!I76),2)+ROUND((Source!CR76/IF(Source!BB76&lt;&gt;0,Source!BB76,1)*Source!I76),2)+ROUND((Source!CQ76/IF(Source!BC76&lt;&gt;0,Source!BC76,1)*Source!I76),2)+((Source!DN76/100)*ROUND((Source!CT76/IF(Source!BA76&lt;&gt;0,Source!BA76,1)*Source!I76),2))+((Source!DO76/100)*ROUND((Source!CT76/IF(Source!BA76&lt;&gt;0,Source!BA76,1)*Source!I76),2))+(ROUND((Source!CS76/IF(Source!BS76&lt;&gt;0,Source!BS76,1)*Source!I76),2)*1.75)),0),2)</f>
        <v>0</v>
      </c>
      <c r="U287">
        <f>IF(Source!BI76=1,Source!O76+Source!X76+Source!Y76+Source!R76*167/100,0)</f>
        <v>0</v>
      </c>
      <c r="V287">
        <f>IF(Source!BI76=2,Source!O76+Source!X76+Source!Y76+Source!R76*167/100,0)</f>
        <v>4425.7106</v>
      </c>
      <c r="W287">
        <f>IF(Source!BI76=3,Source!O76+Source!X76+Source!Y76+Source!R76*167/100,0)</f>
        <v>0</v>
      </c>
      <c r="X287">
        <f>IF(Source!BI76=4,Source!O76+Source!X76+Source!Y76+Source!R76*167/100,0)</f>
        <v>0</v>
      </c>
    </row>
    <row r="289" spans="3:12" s="34" customFormat="1" ht="12.75">
      <c r="C289" s="34" t="s">
        <v>654</v>
      </c>
      <c r="H289" s="42"/>
      <c r="I289" s="42"/>
      <c r="J289" s="42">
        <f>SUM(N69:N288)</f>
        <v>0</v>
      </c>
      <c r="K289" s="42"/>
      <c r="L289" s="33">
        <f>SUM(L69:L288)</f>
        <v>2807.97</v>
      </c>
    </row>
    <row r="291" spans="3:27" ht="15.75">
      <c r="C291" s="24" t="s">
        <v>642</v>
      </c>
      <c r="D291" s="40" t="str">
        <f>IF(Source!C12="1",Source!F94,Source!G94)</f>
        <v>Материалы , не учтенные сборниками</v>
      </c>
      <c r="E291" s="41"/>
      <c r="F291" s="41"/>
      <c r="G291" s="41"/>
      <c r="H291" s="41"/>
      <c r="I291" s="41"/>
      <c r="J291" s="41"/>
      <c r="K291" s="41"/>
      <c r="AA291" s="35" t="str">
        <f>IF(Source!C12="1",Source!F94,Source!G94)</f>
        <v>Материалы , не учтенные сборниками</v>
      </c>
    </row>
    <row r="293" spans="1:25" ht="36">
      <c r="A293" s="26" t="str">
        <f>Source!E98</f>
        <v>29</v>
      </c>
      <c r="B293" s="26" t="str">
        <f>Source!F98</f>
        <v>1.21-5-858</v>
      </c>
      <c r="C293" s="9" t="str">
        <f>Source!G98</f>
        <v>ШИНЫ ЗАЗЕМЛЕНИЯ, ТОК 63 А, ДЛИНА 95 ММ, ОТВЕРСТИЙ 12 ШТУК, ТИП РЕ95.63.12</v>
      </c>
      <c r="D293" s="27" t="str">
        <f>Source!H98</f>
        <v>шт.</v>
      </c>
      <c r="E293" s="8">
        <f>ROUND(Source!I98,6)</f>
        <v>4</v>
      </c>
      <c r="F293" s="8"/>
      <c r="G293" s="8"/>
      <c r="H293" s="8"/>
      <c r="I293" s="8"/>
      <c r="J293" s="8"/>
      <c r="K293" s="8"/>
      <c r="Y293">
        <v>29</v>
      </c>
    </row>
    <row r="294" spans="1:11" ht="12.75">
      <c r="A294" s="30"/>
      <c r="B294" s="30"/>
      <c r="C294" s="30" t="s">
        <v>655</v>
      </c>
      <c r="D294" s="30"/>
      <c r="E294" s="30"/>
      <c r="F294" s="32">
        <f>Source!AL98</f>
        <v>18.21</v>
      </c>
      <c r="G294" s="30">
        <f>Source!DD98</f>
      </c>
      <c r="H294" s="30">
        <f>Source!AW98</f>
        <v>1</v>
      </c>
      <c r="I294" s="32">
        <f>ROUND((Source!CQ98/IF(Source!BC98&lt;&gt;0,Source!BC98,1)*Source!I98),2)</f>
        <v>72.84</v>
      </c>
      <c r="J294" s="30">
        <f>Source!BC98</f>
        <v>2.58</v>
      </c>
      <c r="K294" s="32"/>
    </row>
    <row r="295" spans="9:24" ht="12.75">
      <c r="I295" s="33">
        <f>ROUND((Source!CT98/IF(Source!BA98&lt;&gt;0,Source!BA98,1)*Source!I98),2)+ROUND((Source!CR98/IF(Source!BB98&lt;&gt;0,Source!BB98,1)*Source!I98),2)+ROUND((Source!CQ98/IF(Source!BC98&lt;&gt;0,Source!BC98,1)*Source!I98),2)</f>
        <v>72.84</v>
      </c>
      <c r="J295" s="34"/>
      <c r="K295" s="33"/>
      <c r="L295">
        <f>ROUND((Source!CT98/IF(Source!BA98&lt;&gt;0,Source!BA98,1)*Source!I98),2)</f>
        <v>0</v>
      </c>
      <c r="M295" s="12">
        <f>I295</f>
        <v>72.84</v>
      </c>
      <c r="N295" s="12">
        <f>K295</f>
        <v>0</v>
      </c>
      <c r="O295">
        <f>ROUND(IF(Source!BI98=1,(ROUND((Source!CT98/IF(Source!BA98&lt;&gt;0,Source!BA98,1)*Source!I98),2)+ROUND((Source!CR98/IF(Source!BB98&lt;&gt;0,Source!BB98,1)*Source!I98),2)+ROUND((Source!CQ98/IF(Source!BC98&lt;&gt;0,Source!BC98,1)*Source!I98),2)+((Source!DN98/100)*ROUND((Source!CT98/IF(Source!BA98&lt;&gt;0,Source!BA98,1)*Source!I98),2))+((Source!DO98/100)*ROUND((Source!CT98/IF(Source!BA98&lt;&gt;0,Source!BA98,1)*Source!I98),2))+(ROUND((Source!CS98/IF(Source!BS98&lt;&gt;0,Source!BS98,1)*Source!I98),2)*1.75)),0),2)</f>
        <v>0</v>
      </c>
      <c r="P295">
        <f>ROUND(IF(Source!BI98=2,(ROUND((Source!CT98/IF(Source!BA98&lt;&gt;0,Source!BA98,1)*Source!I98),2)+ROUND((Source!CR98/IF(Source!BB98&lt;&gt;0,Source!BB98,1)*Source!I98),2)+ROUND((Source!CQ98/IF(Source!BC98&lt;&gt;0,Source!BC98,1)*Source!I98),2)+((Source!DN98/100)*ROUND((Source!CT98/IF(Source!BA98&lt;&gt;0,Source!BA98,1)*Source!I98),2))+((Source!DO98/100)*ROUND((Source!CT98/IF(Source!BA98&lt;&gt;0,Source!BA98,1)*Source!I98),2))+(ROUND((Source!CS98/IF(Source!BS98&lt;&gt;0,Source!BS98,1)*Source!I98),2)*1.75)),0),2)</f>
        <v>72.84</v>
      </c>
      <c r="Q295">
        <f>ROUND(IF(Source!BI98=3,(ROUND((Source!CT98/IF(Source!BA98&lt;&gt;0,Source!BA98,1)*Source!I98),2)+ROUND((Source!CR98/IF(Source!BB98&lt;&gt;0,Source!BB98,1)*Source!I98),2)+ROUND((Source!CQ98/IF(Source!BC98&lt;&gt;0,Source!BC98,1)*Source!I98),2)+((Source!DN98/100)*ROUND((Source!CT98/IF(Source!BA98&lt;&gt;0,Source!BA98,1)*Source!I98),2))+((Source!DO98/100)*ROUND((Source!CT98/IF(Source!BA98&lt;&gt;0,Source!BA98,1)*Source!I98),2))+(ROUND((Source!CS98/IF(Source!BS98&lt;&gt;0,Source!BS98,1)*Source!I98),2)*1.75)),0),2)</f>
        <v>0</v>
      </c>
      <c r="R295">
        <f>ROUND(IF(Source!BI98=4,(ROUND((Source!CT98/IF(Source!BA98&lt;&gt;0,Source!BA98,1)*Source!I98),2)+ROUND((Source!CR98/IF(Source!BB98&lt;&gt;0,Source!BB98,1)*Source!I98),2)+ROUND((Source!CQ98/IF(Source!BC98&lt;&gt;0,Source!BC98,1)*Source!I98),2)+((Source!DN98/100)*ROUND((Source!CT98/IF(Source!BA98&lt;&gt;0,Source!BA98,1)*Source!I98),2))+((Source!DO98/100)*ROUND((Source!CT98/IF(Source!BA98&lt;&gt;0,Source!BA98,1)*Source!I98),2))+(ROUND((Source!CS98/IF(Source!BS98&lt;&gt;0,Source!BS98,1)*Source!I98),2)*1.75)),0),2)</f>
        <v>0</v>
      </c>
      <c r="U295">
        <f>IF(Source!BI98=1,Source!O98+Source!X98+Source!Y98+Source!R98*167/100,0)</f>
        <v>0</v>
      </c>
      <c r="V295">
        <f>IF(Source!BI98=2,Source!O98+Source!X98+Source!Y98+Source!R98*167/100,0)</f>
        <v>187.93</v>
      </c>
      <c r="W295">
        <f>IF(Source!BI98=3,Source!O98+Source!X98+Source!Y98+Source!R98*167/100,0)</f>
        <v>0</v>
      </c>
      <c r="X295">
        <f>IF(Source!BI98=4,Source!O98+Source!X98+Source!Y98+Source!R98*167/100,0)</f>
        <v>0</v>
      </c>
    </row>
    <row r="296" spans="1:25" ht="72">
      <c r="A296" s="26" t="str">
        <f>Source!E99</f>
        <v>30</v>
      </c>
      <c r="B296" s="26" t="str">
        <f>Source!F99</f>
        <v>ЦЕНА ПОСТ</v>
      </c>
      <c r="C296" s="9" t="str">
        <f>Source!G99</f>
        <v>СТОЙКА МЕТАЛЛИЧЕСКАЯ ВЫСОТОЙ 10 М ДЛЯ РАЗМЕЩЕНИЯ ПЕРИФЕРИЙНОГО ОБОРУДОВАНИЯ СТ (ЦЕНА: 86000,00 / 1,18/4,26 * 1,02 = 17450,47 РУБ.)</v>
      </c>
      <c r="D296" s="27" t="str">
        <f>Source!H99</f>
        <v>КОМПЛ</v>
      </c>
      <c r="E296" s="8">
        <f>ROUND(Source!I99,6)</f>
        <v>1</v>
      </c>
      <c r="F296" s="8"/>
      <c r="G296" s="8"/>
      <c r="H296" s="8"/>
      <c r="I296" s="8"/>
      <c r="J296" s="8"/>
      <c r="K296" s="8"/>
      <c r="Y296">
        <v>30</v>
      </c>
    </row>
    <row r="297" spans="1:11" ht="12.75">
      <c r="A297" s="30"/>
      <c r="B297" s="30"/>
      <c r="C297" s="30" t="s">
        <v>655</v>
      </c>
      <c r="D297" s="30"/>
      <c r="E297" s="30"/>
      <c r="F297" s="32">
        <f>Source!AL99</f>
        <v>17450.47</v>
      </c>
      <c r="G297" s="30">
        <f>Source!DD99</f>
      </c>
      <c r="H297" s="30">
        <f>Source!AW99</f>
        <v>1</v>
      </c>
      <c r="I297" s="32">
        <f>ROUND((Source!CQ99/IF(Source!BC99&lt;&gt;0,Source!BC99,1)*Source!I99),2)</f>
        <v>17450.47</v>
      </c>
      <c r="J297" s="30">
        <f>Source!BC99</f>
        <v>4.26</v>
      </c>
      <c r="K297" s="32"/>
    </row>
    <row r="298" spans="9:24" ht="12.75">
      <c r="I298" s="33">
        <f>ROUND((Source!CT99/IF(Source!BA99&lt;&gt;0,Source!BA99,1)*Source!I99),2)+ROUND((Source!CR99/IF(Source!BB99&lt;&gt;0,Source!BB99,1)*Source!I99),2)+ROUND((Source!CQ99/IF(Source!BC99&lt;&gt;0,Source!BC99,1)*Source!I99),2)</f>
        <v>17450.47</v>
      </c>
      <c r="J298" s="34"/>
      <c r="K298" s="33"/>
      <c r="L298">
        <f>ROUND((Source!CT99/IF(Source!BA99&lt;&gt;0,Source!BA99,1)*Source!I99),2)</f>
        <v>0</v>
      </c>
      <c r="M298" s="12">
        <f>I298</f>
        <v>17450.47</v>
      </c>
      <c r="N298" s="12">
        <f>K298</f>
        <v>0</v>
      </c>
      <c r="O298">
        <f>ROUND(IF(Source!BI99=1,(ROUND((Source!CT99/IF(Source!BA99&lt;&gt;0,Source!BA99,1)*Source!I99),2)+ROUND((Source!CR99/IF(Source!BB99&lt;&gt;0,Source!BB99,1)*Source!I99),2)+ROUND((Source!CQ99/IF(Source!BC99&lt;&gt;0,Source!BC99,1)*Source!I99),2)+((Source!DN99/100)*ROUND((Source!CT99/IF(Source!BA99&lt;&gt;0,Source!BA99,1)*Source!I99),2))+((Source!DO99/100)*ROUND((Source!CT99/IF(Source!BA99&lt;&gt;0,Source!BA99,1)*Source!I99),2))+(ROUND((Source!CS99/IF(Source!BS99&lt;&gt;0,Source!BS99,1)*Source!I99),2)*1.75)),0),2)</f>
        <v>0</v>
      </c>
      <c r="P298">
        <f>ROUND(IF(Source!BI99=2,(ROUND((Source!CT99/IF(Source!BA99&lt;&gt;0,Source!BA99,1)*Source!I99),2)+ROUND((Source!CR99/IF(Source!BB99&lt;&gt;0,Source!BB99,1)*Source!I99),2)+ROUND((Source!CQ99/IF(Source!BC99&lt;&gt;0,Source!BC99,1)*Source!I99),2)+((Source!DN99/100)*ROUND((Source!CT99/IF(Source!BA99&lt;&gt;0,Source!BA99,1)*Source!I99),2))+((Source!DO99/100)*ROUND((Source!CT99/IF(Source!BA99&lt;&gt;0,Source!BA99,1)*Source!I99),2))+(ROUND((Source!CS99/IF(Source!BS99&lt;&gt;0,Source!BS99,1)*Source!I99),2)*1.75)),0),2)</f>
        <v>17450.47</v>
      </c>
      <c r="Q298">
        <f>ROUND(IF(Source!BI99=3,(ROUND((Source!CT99/IF(Source!BA99&lt;&gt;0,Source!BA99,1)*Source!I99),2)+ROUND((Source!CR99/IF(Source!BB99&lt;&gt;0,Source!BB99,1)*Source!I99),2)+ROUND((Source!CQ99/IF(Source!BC99&lt;&gt;0,Source!BC99,1)*Source!I99),2)+((Source!DN99/100)*ROUND((Source!CT99/IF(Source!BA99&lt;&gt;0,Source!BA99,1)*Source!I99),2))+((Source!DO99/100)*ROUND((Source!CT99/IF(Source!BA99&lt;&gt;0,Source!BA99,1)*Source!I99),2))+(ROUND((Source!CS99/IF(Source!BS99&lt;&gt;0,Source!BS99,1)*Source!I99),2)*1.75)),0),2)</f>
        <v>0</v>
      </c>
      <c r="R298">
        <f>ROUND(IF(Source!BI99=4,(ROUND((Source!CT99/IF(Source!BA99&lt;&gt;0,Source!BA99,1)*Source!I99),2)+ROUND((Source!CR99/IF(Source!BB99&lt;&gt;0,Source!BB99,1)*Source!I99),2)+ROUND((Source!CQ99/IF(Source!BC99&lt;&gt;0,Source!BC99,1)*Source!I99),2)+((Source!DN99/100)*ROUND((Source!CT99/IF(Source!BA99&lt;&gt;0,Source!BA99,1)*Source!I99),2))+((Source!DO99/100)*ROUND((Source!CT99/IF(Source!BA99&lt;&gt;0,Source!BA99,1)*Source!I99),2))+(ROUND((Source!CS99/IF(Source!BS99&lt;&gt;0,Source!BS99,1)*Source!I99),2)*1.75)),0),2)</f>
        <v>0</v>
      </c>
      <c r="U298">
        <f>IF(Source!BI99=1,Source!O99+Source!X99+Source!Y99+Source!R99*167/100,0)</f>
        <v>0</v>
      </c>
      <c r="V298">
        <f>IF(Source!BI99=2,Source!O99+Source!X99+Source!Y99+Source!R99*167/100,0)</f>
        <v>74339</v>
      </c>
      <c r="W298">
        <f>IF(Source!BI99=3,Source!O99+Source!X99+Source!Y99+Source!R99*167/100,0)</f>
        <v>0</v>
      </c>
      <c r="X298">
        <f>IF(Source!BI99=4,Source!O99+Source!X99+Source!Y99+Source!R99*167/100,0)</f>
        <v>0</v>
      </c>
    </row>
    <row r="299" spans="1:25" ht="24">
      <c r="A299" s="26" t="str">
        <f>Source!E100</f>
        <v>31</v>
      </c>
      <c r="B299" s="26" t="str">
        <f>Source!F100</f>
        <v>ЦЕНА ПОСТ</v>
      </c>
      <c r="C299" s="9" t="str">
        <f>Source!G100</f>
        <v>БЛОК ДВП (ЦЕНА: 7372,88 / 1,18/4,26 * 1,02 = 1496,05 РУБ.)</v>
      </c>
      <c r="D299" s="27" t="str">
        <f>Source!H100</f>
        <v>КОМПЛ</v>
      </c>
      <c r="E299" s="8">
        <f>ROUND(Source!I100,6)</f>
        <v>1</v>
      </c>
      <c r="F299" s="8"/>
      <c r="G299" s="8"/>
      <c r="H299" s="8"/>
      <c r="I299" s="8"/>
      <c r="J299" s="8"/>
      <c r="K299" s="8"/>
      <c r="Y299">
        <v>31</v>
      </c>
    </row>
    <row r="300" spans="1:11" ht="12.75">
      <c r="A300" s="30"/>
      <c r="B300" s="30"/>
      <c r="C300" s="30" t="s">
        <v>655</v>
      </c>
      <c r="D300" s="30"/>
      <c r="E300" s="30"/>
      <c r="F300" s="32">
        <f>Source!AL100</f>
        <v>1496.05</v>
      </c>
      <c r="G300" s="30">
        <f>Source!DD100</f>
      </c>
      <c r="H300" s="30">
        <f>Source!AW100</f>
        <v>1</v>
      </c>
      <c r="I300" s="32">
        <f>ROUND((Source!CQ100/IF(Source!BC100&lt;&gt;0,Source!BC100,1)*Source!I100),2)</f>
        <v>1496.05</v>
      </c>
      <c r="J300" s="30">
        <f>Source!BC100</f>
        <v>4.26</v>
      </c>
      <c r="K300" s="32"/>
    </row>
    <row r="301" spans="9:24" ht="12.75">
      <c r="I301" s="33">
        <f>ROUND((Source!CT100/IF(Source!BA100&lt;&gt;0,Source!BA100,1)*Source!I100),2)+ROUND((Source!CR100/IF(Source!BB100&lt;&gt;0,Source!BB100,1)*Source!I100),2)+ROUND((Source!CQ100/IF(Source!BC100&lt;&gt;0,Source!BC100,1)*Source!I100),2)</f>
        <v>1496.05</v>
      </c>
      <c r="J301" s="34"/>
      <c r="K301" s="33"/>
      <c r="L301">
        <f>ROUND((Source!CT100/IF(Source!BA100&lt;&gt;0,Source!BA100,1)*Source!I100),2)</f>
        <v>0</v>
      </c>
      <c r="M301" s="12">
        <f>I301</f>
        <v>1496.05</v>
      </c>
      <c r="N301" s="12">
        <f>K301</f>
        <v>0</v>
      </c>
      <c r="O301">
        <f>ROUND(IF(Source!BI100=1,(ROUND((Source!CT100/IF(Source!BA100&lt;&gt;0,Source!BA100,1)*Source!I100),2)+ROUND((Source!CR100/IF(Source!BB100&lt;&gt;0,Source!BB100,1)*Source!I100),2)+ROUND((Source!CQ100/IF(Source!BC100&lt;&gt;0,Source!BC100,1)*Source!I100),2)+((Source!DN100/100)*ROUND((Source!CT100/IF(Source!BA100&lt;&gt;0,Source!BA100,1)*Source!I100),2))+((Source!DO100/100)*ROUND((Source!CT100/IF(Source!BA100&lt;&gt;0,Source!BA100,1)*Source!I100),2))+(ROUND((Source!CS100/IF(Source!BS100&lt;&gt;0,Source!BS100,1)*Source!I100),2)*1.75)),0),2)</f>
        <v>0</v>
      </c>
      <c r="P301">
        <f>ROUND(IF(Source!BI100=2,(ROUND((Source!CT100/IF(Source!BA100&lt;&gt;0,Source!BA100,1)*Source!I100),2)+ROUND((Source!CR100/IF(Source!BB100&lt;&gt;0,Source!BB100,1)*Source!I100),2)+ROUND((Source!CQ100/IF(Source!BC100&lt;&gt;0,Source!BC100,1)*Source!I100),2)+((Source!DN100/100)*ROUND((Source!CT100/IF(Source!BA100&lt;&gt;0,Source!BA100,1)*Source!I100),2))+((Source!DO100/100)*ROUND((Source!CT100/IF(Source!BA100&lt;&gt;0,Source!BA100,1)*Source!I100),2))+(ROUND((Source!CS100/IF(Source!BS100&lt;&gt;0,Source!BS100,1)*Source!I100),2)*1.75)),0),2)</f>
        <v>1496.05</v>
      </c>
      <c r="Q301">
        <f>ROUND(IF(Source!BI100=3,(ROUND((Source!CT100/IF(Source!BA100&lt;&gt;0,Source!BA100,1)*Source!I100),2)+ROUND((Source!CR100/IF(Source!BB100&lt;&gt;0,Source!BB100,1)*Source!I100),2)+ROUND((Source!CQ100/IF(Source!BC100&lt;&gt;0,Source!BC100,1)*Source!I100),2)+((Source!DN100/100)*ROUND((Source!CT100/IF(Source!BA100&lt;&gt;0,Source!BA100,1)*Source!I100),2))+((Source!DO100/100)*ROUND((Source!CT100/IF(Source!BA100&lt;&gt;0,Source!BA100,1)*Source!I100),2))+(ROUND((Source!CS100/IF(Source!BS100&lt;&gt;0,Source!BS100,1)*Source!I100),2)*1.75)),0),2)</f>
        <v>0</v>
      </c>
      <c r="R301">
        <f>ROUND(IF(Source!BI100=4,(ROUND((Source!CT100/IF(Source!BA100&lt;&gt;0,Source!BA100,1)*Source!I100),2)+ROUND((Source!CR100/IF(Source!BB100&lt;&gt;0,Source!BB100,1)*Source!I100),2)+ROUND((Source!CQ100/IF(Source!BC100&lt;&gt;0,Source!BC100,1)*Source!I100),2)+((Source!DN100/100)*ROUND((Source!CT100/IF(Source!BA100&lt;&gt;0,Source!BA100,1)*Source!I100),2))+((Source!DO100/100)*ROUND((Source!CT100/IF(Source!BA100&lt;&gt;0,Source!BA100,1)*Source!I100),2))+(ROUND((Source!CS100/IF(Source!BS100&lt;&gt;0,Source!BS100,1)*Source!I100),2)*1.75)),0),2)</f>
        <v>0</v>
      </c>
      <c r="U301">
        <f>IF(Source!BI100=1,Source!O100+Source!X100+Source!Y100+Source!R100*167/100,0)</f>
        <v>0</v>
      </c>
      <c r="V301">
        <f>IF(Source!BI100=2,Source!O100+Source!X100+Source!Y100+Source!R100*167/100,0)</f>
        <v>6373.17</v>
      </c>
      <c r="W301">
        <f>IF(Source!BI100=3,Source!O100+Source!X100+Source!Y100+Source!R100*167/100,0)</f>
        <v>0</v>
      </c>
      <c r="X301">
        <f>IF(Source!BI100=4,Source!O100+Source!X100+Source!Y100+Source!R100*167/100,0)</f>
        <v>0</v>
      </c>
    </row>
    <row r="302" spans="1:25" ht="60">
      <c r="A302" s="26" t="str">
        <f>Source!E101</f>
        <v>32</v>
      </c>
      <c r="B302" s="26" t="str">
        <f>Source!F101</f>
        <v>1.12-5-371</v>
      </c>
      <c r="C302" s="9" t="str">
        <f>Source!G101</f>
        <v>ТРУБЫ ЭЛЕКТРОТЕХНИЧЕСКИЕ ГОФРИРОВАННЫЕ, ПОЛИВИНИЛХЛОРИДНЫЕ, НЕГОРЮЧИЕ, С ЗОНДОМ, НАРУЖНЫЙ ДИАМЕТР 16 ММ</v>
      </c>
      <c r="D302" s="27" t="str">
        <f>Source!H101</f>
        <v>м</v>
      </c>
      <c r="E302" s="8">
        <f>ROUND(Source!I101,6)</f>
        <v>8.16</v>
      </c>
      <c r="F302" s="8"/>
      <c r="G302" s="8"/>
      <c r="H302" s="8"/>
      <c r="I302" s="8"/>
      <c r="J302" s="8"/>
      <c r="K302" s="8"/>
      <c r="Y302">
        <v>32</v>
      </c>
    </row>
    <row r="303" spans="1:11" ht="12.75">
      <c r="A303" s="30"/>
      <c r="B303" s="30"/>
      <c r="C303" s="30" t="s">
        <v>655</v>
      </c>
      <c r="D303" s="30"/>
      <c r="E303" s="30"/>
      <c r="F303" s="32">
        <f>Source!AL101</f>
        <v>2.67</v>
      </c>
      <c r="G303" s="30">
        <f>Source!DD101</f>
      </c>
      <c r="H303" s="30">
        <f>Source!AW101</f>
        <v>1</v>
      </c>
      <c r="I303" s="32">
        <f>ROUND((Source!CQ101/IF(Source!BC101&lt;&gt;0,Source!BC101,1)*Source!I101),2)</f>
        <v>21.79</v>
      </c>
      <c r="J303" s="30">
        <f>Source!BC101</f>
        <v>3.16</v>
      </c>
      <c r="K303" s="32"/>
    </row>
    <row r="304" spans="9:24" ht="12.75">
      <c r="I304" s="33">
        <f>ROUND((Source!CT101/IF(Source!BA101&lt;&gt;0,Source!BA101,1)*Source!I101),2)+ROUND((Source!CR101/IF(Source!BB101&lt;&gt;0,Source!BB101,1)*Source!I101),2)+ROUND((Source!CQ101/IF(Source!BC101&lt;&gt;0,Source!BC101,1)*Source!I101),2)</f>
        <v>21.79</v>
      </c>
      <c r="J304" s="34"/>
      <c r="K304" s="33"/>
      <c r="L304">
        <f>ROUND((Source!CT101/IF(Source!BA101&lt;&gt;0,Source!BA101,1)*Source!I101),2)</f>
        <v>0</v>
      </c>
      <c r="M304" s="12">
        <f>I304</f>
        <v>21.79</v>
      </c>
      <c r="N304" s="12">
        <f>K304</f>
        <v>0</v>
      </c>
      <c r="O304">
        <f>ROUND(IF(Source!BI101=1,(ROUND((Source!CT101/IF(Source!BA101&lt;&gt;0,Source!BA101,1)*Source!I101),2)+ROUND((Source!CR101/IF(Source!BB101&lt;&gt;0,Source!BB101,1)*Source!I101),2)+ROUND((Source!CQ101/IF(Source!BC101&lt;&gt;0,Source!BC101,1)*Source!I101),2)+((Source!DN101/100)*ROUND((Source!CT101/IF(Source!BA101&lt;&gt;0,Source!BA101,1)*Source!I101),2))+((Source!DO101/100)*ROUND((Source!CT101/IF(Source!BA101&lt;&gt;0,Source!BA101,1)*Source!I101),2))+(ROUND((Source!CS101/IF(Source!BS101&lt;&gt;0,Source!BS101,1)*Source!I101),2)*1.75)),0),2)</f>
        <v>0</v>
      </c>
      <c r="P304">
        <f>ROUND(IF(Source!BI101=2,(ROUND((Source!CT101/IF(Source!BA101&lt;&gt;0,Source!BA101,1)*Source!I101),2)+ROUND((Source!CR101/IF(Source!BB101&lt;&gt;0,Source!BB101,1)*Source!I101),2)+ROUND((Source!CQ101/IF(Source!BC101&lt;&gt;0,Source!BC101,1)*Source!I101),2)+((Source!DN101/100)*ROUND((Source!CT101/IF(Source!BA101&lt;&gt;0,Source!BA101,1)*Source!I101),2))+((Source!DO101/100)*ROUND((Source!CT101/IF(Source!BA101&lt;&gt;0,Source!BA101,1)*Source!I101),2))+(ROUND((Source!CS101/IF(Source!BS101&lt;&gt;0,Source!BS101,1)*Source!I101),2)*1.75)),0),2)</f>
        <v>21.79</v>
      </c>
      <c r="Q304">
        <f>ROUND(IF(Source!BI101=3,(ROUND((Source!CT101/IF(Source!BA101&lt;&gt;0,Source!BA101,1)*Source!I101),2)+ROUND((Source!CR101/IF(Source!BB101&lt;&gt;0,Source!BB101,1)*Source!I101),2)+ROUND((Source!CQ101/IF(Source!BC101&lt;&gt;0,Source!BC101,1)*Source!I101),2)+((Source!DN101/100)*ROUND((Source!CT101/IF(Source!BA101&lt;&gt;0,Source!BA101,1)*Source!I101),2))+((Source!DO101/100)*ROUND((Source!CT101/IF(Source!BA101&lt;&gt;0,Source!BA101,1)*Source!I101),2))+(ROUND((Source!CS101/IF(Source!BS101&lt;&gt;0,Source!BS101,1)*Source!I101),2)*1.75)),0),2)</f>
        <v>0</v>
      </c>
      <c r="R304">
        <f>ROUND(IF(Source!BI101=4,(ROUND((Source!CT101/IF(Source!BA101&lt;&gt;0,Source!BA101,1)*Source!I101),2)+ROUND((Source!CR101/IF(Source!BB101&lt;&gt;0,Source!BB101,1)*Source!I101),2)+ROUND((Source!CQ101/IF(Source!BC101&lt;&gt;0,Source!BC101,1)*Source!I101),2)+((Source!DN101/100)*ROUND((Source!CT101/IF(Source!BA101&lt;&gt;0,Source!BA101,1)*Source!I101),2))+((Source!DO101/100)*ROUND((Source!CT101/IF(Source!BA101&lt;&gt;0,Source!BA101,1)*Source!I101),2))+(ROUND((Source!CS101/IF(Source!BS101&lt;&gt;0,Source!BS101,1)*Source!I101),2)*1.75)),0),2)</f>
        <v>0</v>
      </c>
      <c r="U304">
        <f>IF(Source!BI101=1,Source!O101+Source!X101+Source!Y101+Source!R101*167/100,0)</f>
        <v>0</v>
      </c>
      <c r="V304">
        <f>IF(Source!BI101=2,Source!O101+Source!X101+Source!Y101+Source!R101*167/100,0)</f>
        <v>68.85</v>
      </c>
      <c r="W304">
        <f>IF(Source!BI101=3,Source!O101+Source!X101+Source!Y101+Source!R101*167/100,0)</f>
        <v>0</v>
      </c>
      <c r="X304">
        <f>IF(Source!BI101=4,Source!O101+Source!X101+Source!Y101+Source!R101*167/100,0)</f>
        <v>0</v>
      </c>
    </row>
    <row r="305" spans="1:25" ht="60">
      <c r="A305" s="26" t="str">
        <f>Source!E102</f>
        <v>33</v>
      </c>
      <c r="B305" s="26" t="str">
        <f>Source!F102</f>
        <v>1.12-5-372</v>
      </c>
      <c r="C305" s="9" t="str">
        <f>Source!G102</f>
        <v>ТРУБЫ ЭЛЕКТРОТЕХНИЧЕСКИЕ ГОФРИРОВАННЫЕ, ПОЛИВИНИЛХЛОРИДНЫЕ, НЕГОРЮЧИЕ, С ЗОНДОМ, НАРУЖНЫЙ ДИАМЕТР 20 ММ</v>
      </c>
      <c r="D305" s="27" t="str">
        <f>Source!H102</f>
        <v>м</v>
      </c>
      <c r="E305" s="8">
        <f>ROUND(Source!I102,6)</f>
        <v>9.18</v>
      </c>
      <c r="F305" s="8"/>
      <c r="G305" s="8"/>
      <c r="H305" s="8"/>
      <c r="I305" s="8"/>
      <c r="J305" s="8"/>
      <c r="K305" s="8"/>
      <c r="Y305">
        <v>33</v>
      </c>
    </row>
    <row r="306" spans="1:11" ht="12.75">
      <c r="A306" s="30"/>
      <c r="B306" s="30"/>
      <c r="C306" s="30" t="s">
        <v>655</v>
      </c>
      <c r="D306" s="30"/>
      <c r="E306" s="30"/>
      <c r="F306" s="32">
        <f>Source!AL102</f>
        <v>3.45</v>
      </c>
      <c r="G306" s="30">
        <f>Source!DD102</f>
      </c>
      <c r="H306" s="30">
        <f>Source!AW102</f>
        <v>1</v>
      </c>
      <c r="I306" s="32">
        <f>ROUND((Source!CQ102/IF(Source!BC102&lt;&gt;0,Source!BC102,1)*Source!I102),2)</f>
        <v>31.67</v>
      </c>
      <c r="J306" s="30">
        <f>Source!BC102</f>
        <v>3.5</v>
      </c>
      <c r="K306" s="32"/>
    </row>
    <row r="307" spans="9:24" ht="12.75">
      <c r="I307" s="33">
        <f>ROUND((Source!CT102/IF(Source!BA102&lt;&gt;0,Source!BA102,1)*Source!I102),2)+ROUND((Source!CR102/IF(Source!BB102&lt;&gt;0,Source!BB102,1)*Source!I102),2)+ROUND((Source!CQ102/IF(Source!BC102&lt;&gt;0,Source!BC102,1)*Source!I102),2)</f>
        <v>31.67</v>
      </c>
      <c r="J307" s="34"/>
      <c r="K307" s="33"/>
      <c r="L307">
        <f>ROUND((Source!CT102/IF(Source!BA102&lt;&gt;0,Source!BA102,1)*Source!I102),2)</f>
        <v>0</v>
      </c>
      <c r="M307" s="12">
        <f>I307</f>
        <v>31.67</v>
      </c>
      <c r="N307" s="12">
        <f>K307</f>
        <v>0</v>
      </c>
      <c r="O307">
        <f>ROUND(IF(Source!BI102=1,(ROUND((Source!CT102/IF(Source!BA102&lt;&gt;0,Source!BA102,1)*Source!I102),2)+ROUND((Source!CR102/IF(Source!BB102&lt;&gt;0,Source!BB102,1)*Source!I102),2)+ROUND((Source!CQ102/IF(Source!BC102&lt;&gt;0,Source!BC102,1)*Source!I102),2)+((Source!DN102/100)*ROUND((Source!CT102/IF(Source!BA102&lt;&gt;0,Source!BA102,1)*Source!I102),2))+((Source!DO102/100)*ROUND((Source!CT102/IF(Source!BA102&lt;&gt;0,Source!BA102,1)*Source!I102),2))+(ROUND((Source!CS102/IF(Source!BS102&lt;&gt;0,Source!BS102,1)*Source!I102),2)*1.75)),0),2)</f>
        <v>0</v>
      </c>
      <c r="P307">
        <f>ROUND(IF(Source!BI102=2,(ROUND((Source!CT102/IF(Source!BA102&lt;&gt;0,Source!BA102,1)*Source!I102),2)+ROUND((Source!CR102/IF(Source!BB102&lt;&gt;0,Source!BB102,1)*Source!I102),2)+ROUND((Source!CQ102/IF(Source!BC102&lt;&gt;0,Source!BC102,1)*Source!I102),2)+((Source!DN102/100)*ROUND((Source!CT102/IF(Source!BA102&lt;&gt;0,Source!BA102,1)*Source!I102),2))+((Source!DO102/100)*ROUND((Source!CT102/IF(Source!BA102&lt;&gt;0,Source!BA102,1)*Source!I102),2))+(ROUND((Source!CS102/IF(Source!BS102&lt;&gt;0,Source!BS102,1)*Source!I102),2)*1.75)),0),2)</f>
        <v>31.67</v>
      </c>
      <c r="Q307">
        <f>ROUND(IF(Source!BI102=3,(ROUND((Source!CT102/IF(Source!BA102&lt;&gt;0,Source!BA102,1)*Source!I102),2)+ROUND((Source!CR102/IF(Source!BB102&lt;&gt;0,Source!BB102,1)*Source!I102),2)+ROUND((Source!CQ102/IF(Source!BC102&lt;&gt;0,Source!BC102,1)*Source!I102),2)+((Source!DN102/100)*ROUND((Source!CT102/IF(Source!BA102&lt;&gt;0,Source!BA102,1)*Source!I102),2))+((Source!DO102/100)*ROUND((Source!CT102/IF(Source!BA102&lt;&gt;0,Source!BA102,1)*Source!I102),2))+(ROUND((Source!CS102/IF(Source!BS102&lt;&gt;0,Source!BS102,1)*Source!I102),2)*1.75)),0),2)</f>
        <v>0</v>
      </c>
      <c r="R307">
        <f>ROUND(IF(Source!BI102=4,(ROUND((Source!CT102/IF(Source!BA102&lt;&gt;0,Source!BA102,1)*Source!I102),2)+ROUND((Source!CR102/IF(Source!BB102&lt;&gt;0,Source!BB102,1)*Source!I102),2)+ROUND((Source!CQ102/IF(Source!BC102&lt;&gt;0,Source!BC102,1)*Source!I102),2)+((Source!DN102/100)*ROUND((Source!CT102/IF(Source!BA102&lt;&gt;0,Source!BA102,1)*Source!I102),2))+((Source!DO102/100)*ROUND((Source!CT102/IF(Source!BA102&lt;&gt;0,Source!BA102,1)*Source!I102),2))+(ROUND((Source!CS102/IF(Source!BS102&lt;&gt;0,Source!BS102,1)*Source!I102),2)*1.75)),0),2)</f>
        <v>0</v>
      </c>
      <c r="U307">
        <f>IF(Source!BI102=1,Source!O102+Source!X102+Source!Y102+Source!R102*167/100,0)</f>
        <v>0</v>
      </c>
      <c r="V307">
        <f>IF(Source!BI102=2,Source!O102+Source!X102+Source!Y102+Source!R102*167/100,0)</f>
        <v>110.85</v>
      </c>
      <c r="W307">
        <f>IF(Source!BI102=3,Source!O102+Source!X102+Source!Y102+Source!R102*167/100,0)</f>
        <v>0</v>
      </c>
      <c r="X307">
        <f>IF(Source!BI102=4,Source!O102+Source!X102+Source!Y102+Source!R102*167/100,0)</f>
        <v>0</v>
      </c>
    </row>
    <row r="308" spans="1:25" ht="108">
      <c r="A308" s="26" t="str">
        <f>Source!E103</f>
        <v>34</v>
      </c>
      <c r="B308" s="26" t="str">
        <f>Source!F103</f>
        <v>1.23-8-88</v>
      </c>
      <c r="C308" s="9" t="str">
        <f>Source!G103</f>
        <v>КАБЕЛИ СИЛОВЫЕ С МЕДНЫМИ ЖИЛАМИ С ПОЛИВИНИЛХЛОРИДНОЙ ИЗОЛЯЦИЕЙ В ОБОЛОЧКЕ ИЗ ПОЛИВИНИЛХЛОРИДНОГО ПЛАСТИКАТА ПОНИЖЕННОЙ ГОРЮЧЕСТИ, НАПРЯЖЕНИЕ 660 В, МАРКА ВВГНГ, ЧИСЛО ЖИЛ И СЕЧЕНИЕ 3Х2,5 ММ2</v>
      </c>
      <c r="D308" s="27" t="str">
        <f>Source!H103</f>
        <v>км</v>
      </c>
      <c r="E308" s="8">
        <f>ROUND(Source!I103,6)</f>
        <v>0.11118</v>
      </c>
      <c r="F308" s="8"/>
      <c r="G308" s="8"/>
      <c r="H308" s="8"/>
      <c r="I308" s="8"/>
      <c r="J308" s="8"/>
      <c r="K308" s="8"/>
      <c r="Y308">
        <v>34</v>
      </c>
    </row>
    <row r="309" spans="1:11" ht="12.75">
      <c r="A309" s="30"/>
      <c r="B309" s="30"/>
      <c r="C309" s="30" t="s">
        <v>655</v>
      </c>
      <c r="D309" s="30"/>
      <c r="E309" s="30"/>
      <c r="F309" s="32">
        <f>Source!AL103</f>
        <v>12798.46</v>
      </c>
      <c r="G309" s="30">
        <f>Source!DD103</f>
      </c>
      <c r="H309" s="30">
        <f>Source!AW103</f>
        <v>1</v>
      </c>
      <c r="I309" s="32">
        <f>ROUND((Source!CQ103/IF(Source!BC103&lt;&gt;0,Source!BC103,1)*Source!I103),2)</f>
        <v>1422.93</v>
      </c>
      <c r="J309" s="30">
        <f>Source!BC103</f>
        <v>2.42</v>
      </c>
      <c r="K309" s="32"/>
    </row>
    <row r="310" spans="9:24" ht="12.75">
      <c r="I310" s="33">
        <f>ROUND((Source!CT103/IF(Source!BA103&lt;&gt;0,Source!BA103,1)*Source!I103),2)+ROUND((Source!CR103/IF(Source!BB103&lt;&gt;0,Source!BB103,1)*Source!I103),2)+ROUND((Source!CQ103/IF(Source!BC103&lt;&gt;0,Source!BC103,1)*Source!I103),2)</f>
        <v>1422.93</v>
      </c>
      <c r="J310" s="34"/>
      <c r="K310" s="33"/>
      <c r="L310">
        <f>ROUND((Source!CT103/IF(Source!BA103&lt;&gt;0,Source!BA103,1)*Source!I103),2)</f>
        <v>0</v>
      </c>
      <c r="M310" s="12">
        <f>I310</f>
        <v>1422.93</v>
      </c>
      <c r="N310" s="12">
        <f>K310</f>
        <v>0</v>
      </c>
      <c r="O310">
        <f>ROUND(IF(Source!BI103=1,(ROUND((Source!CT103/IF(Source!BA103&lt;&gt;0,Source!BA103,1)*Source!I103),2)+ROUND((Source!CR103/IF(Source!BB103&lt;&gt;0,Source!BB103,1)*Source!I103),2)+ROUND((Source!CQ103/IF(Source!BC103&lt;&gt;0,Source!BC103,1)*Source!I103),2)+((Source!DN103/100)*ROUND((Source!CT103/IF(Source!BA103&lt;&gt;0,Source!BA103,1)*Source!I103),2))+((Source!DO103/100)*ROUND((Source!CT103/IF(Source!BA103&lt;&gt;0,Source!BA103,1)*Source!I103),2))+(ROUND((Source!CS103/IF(Source!BS103&lt;&gt;0,Source!BS103,1)*Source!I103),2)*1.75)),0),2)</f>
        <v>0</v>
      </c>
      <c r="P310">
        <f>ROUND(IF(Source!BI103=2,(ROUND((Source!CT103/IF(Source!BA103&lt;&gt;0,Source!BA103,1)*Source!I103),2)+ROUND((Source!CR103/IF(Source!BB103&lt;&gt;0,Source!BB103,1)*Source!I103),2)+ROUND((Source!CQ103/IF(Source!BC103&lt;&gt;0,Source!BC103,1)*Source!I103),2)+((Source!DN103/100)*ROUND((Source!CT103/IF(Source!BA103&lt;&gt;0,Source!BA103,1)*Source!I103),2))+((Source!DO103/100)*ROUND((Source!CT103/IF(Source!BA103&lt;&gt;0,Source!BA103,1)*Source!I103),2))+(ROUND((Source!CS103/IF(Source!BS103&lt;&gt;0,Source!BS103,1)*Source!I103),2)*1.75)),0),2)</f>
        <v>1422.93</v>
      </c>
      <c r="Q310">
        <f>ROUND(IF(Source!BI103=3,(ROUND((Source!CT103/IF(Source!BA103&lt;&gt;0,Source!BA103,1)*Source!I103),2)+ROUND((Source!CR103/IF(Source!BB103&lt;&gt;0,Source!BB103,1)*Source!I103),2)+ROUND((Source!CQ103/IF(Source!BC103&lt;&gt;0,Source!BC103,1)*Source!I103),2)+((Source!DN103/100)*ROUND((Source!CT103/IF(Source!BA103&lt;&gt;0,Source!BA103,1)*Source!I103),2))+((Source!DO103/100)*ROUND((Source!CT103/IF(Source!BA103&lt;&gt;0,Source!BA103,1)*Source!I103),2))+(ROUND((Source!CS103/IF(Source!BS103&lt;&gt;0,Source!BS103,1)*Source!I103),2)*1.75)),0),2)</f>
        <v>0</v>
      </c>
      <c r="R310">
        <f>ROUND(IF(Source!BI103=4,(ROUND((Source!CT103/IF(Source!BA103&lt;&gt;0,Source!BA103,1)*Source!I103),2)+ROUND((Source!CR103/IF(Source!BB103&lt;&gt;0,Source!BB103,1)*Source!I103),2)+ROUND((Source!CQ103/IF(Source!BC103&lt;&gt;0,Source!BC103,1)*Source!I103),2)+((Source!DN103/100)*ROUND((Source!CT103/IF(Source!BA103&lt;&gt;0,Source!BA103,1)*Source!I103),2))+((Source!DO103/100)*ROUND((Source!CT103/IF(Source!BA103&lt;&gt;0,Source!BA103,1)*Source!I103),2))+(ROUND((Source!CS103/IF(Source!BS103&lt;&gt;0,Source!BS103,1)*Source!I103),2)*1.75)),0),2)</f>
        <v>0</v>
      </c>
      <c r="U310">
        <f>IF(Source!BI103=1,Source!O103+Source!X103+Source!Y103+Source!R103*167/100,0)</f>
        <v>0</v>
      </c>
      <c r="V310">
        <f>IF(Source!BI103=2,Source!O103+Source!X103+Source!Y103+Source!R103*167/100,0)</f>
        <v>3443.5</v>
      </c>
      <c r="W310">
        <f>IF(Source!BI103=3,Source!O103+Source!X103+Source!Y103+Source!R103*167/100,0)</f>
        <v>0</v>
      </c>
      <c r="X310">
        <f>IF(Source!BI103=4,Source!O103+Source!X103+Source!Y103+Source!R103*167/100,0)</f>
        <v>0</v>
      </c>
    </row>
    <row r="311" spans="1:25" ht="84">
      <c r="A311" s="26" t="str">
        <f>Source!E104</f>
        <v>35</v>
      </c>
      <c r="B311" s="26" t="str">
        <f>Source!F104</f>
        <v>1.23-4-337</v>
      </c>
      <c r="C311" s="9" t="str">
        <f>Source!G104</f>
        <v>КАБЕЛИ МАГИСТРАЛЬНЫЕ (ВИТАЯ ПАРА) НЕЭКРАНИРОВАННЫЕ ОДНОЖИЛЬНЫЕ, КАТЕГОРИЯ 5Е ENHANCED, ПРОИЗВОДСТВО ФИРМЫ 'АЕSP', ТИП UTP, ЧИСЛО ЭЛЕМЕНТОВ И ДИАМЕТР ЖИЛЫ, ММ: 4Х2Х0,51(AWG 24)</v>
      </c>
      <c r="D311" s="27" t="str">
        <f>Source!H104</f>
        <v>км</v>
      </c>
      <c r="E311" s="8">
        <f>ROUND(Source!I104,6)</f>
        <v>0.00612</v>
      </c>
      <c r="F311" s="8"/>
      <c r="G311" s="8"/>
      <c r="H311" s="8"/>
      <c r="I311" s="8"/>
      <c r="J311" s="8"/>
      <c r="K311" s="8"/>
      <c r="Y311">
        <v>35</v>
      </c>
    </row>
    <row r="312" spans="1:11" ht="12.75">
      <c r="A312" s="30"/>
      <c r="B312" s="30"/>
      <c r="C312" s="30" t="s">
        <v>655</v>
      </c>
      <c r="D312" s="30"/>
      <c r="E312" s="30"/>
      <c r="F312" s="32">
        <f>Source!AL104</f>
        <v>4941.13</v>
      </c>
      <c r="G312" s="30">
        <f>Source!DD104</f>
      </c>
      <c r="H312" s="30">
        <f>Source!AW104</f>
        <v>1</v>
      </c>
      <c r="I312" s="32">
        <f>ROUND((Source!CQ104/IF(Source!BC104&lt;&gt;0,Source!BC104,1)*Source!I104),2)</f>
        <v>30.24</v>
      </c>
      <c r="J312" s="30">
        <f>Source!BC104</f>
        <v>3.73</v>
      </c>
      <c r="K312" s="32"/>
    </row>
    <row r="313" spans="9:24" ht="12.75">
      <c r="I313" s="33">
        <f>ROUND((Source!CT104/IF(Source!BA104&lt;&gt;0,Source!BA104,1)*Source!I104),2)+ROUND((Source!CR104/IF(Source!BB104&lt;&gt;0,Source!BB104,1)*Source!I104),2)+ROUND((Source!CQ104/IF(Source!BC104&lt;&gt;0,Source!BC104,1)*Source!I104),2)</f>
        <v>30.24</v>
      </c>
      <c r="J313" s="34"/>
      <c r="K313" s="33"/>
      <c r="L313">
        <f>ROUND((Source!CT104/IF(Source!BA104&lt;&gt;0,Source!BA104,1)*Source!I104),2)</f>
        <v>0</v>
      </c>
      <c r="M313" s="12">
        <f>I313</f>
        <v>30.24</v>
      </c>
      <c r="N313" s="12">
        <f>K313</f>
        <v>0</v>
      </c>
      <c r="O313">
        <f>ROUND(IF(Source!BI104=1,(ROUND((Source!CT104/IF(Source!BA104&lt;&gt;0,Source!BA104,1)*Source!I104),2)+ROUND((Source!CR104/IF(Source!BB104&lt;&gt;0,Source!BB104,1)*Source!I104),2)+ROUND((Source!CQ104/IF(Source!BC104&lt;&gt;0,Source!BC104,1)*Source!I104),2)+((Source!DN104/100)*ROUND((Source!CT104/IF(Source!BA104&lt;&gt;0,Source!BA104,1)*Source!I104),2))+((Source!DO104/100)*ROUND((Source!CT104/IF(Source!BA104&lt;&gt;0,Source!BA104,1)*Source!I104),2))+(ROUND((Source!CS104/IF(Source!BS104&lt;&gt;0,Source!BS104,1)*Source!I104),2)*1.75)),0),2)</f>
        <v>0</v>
      </c>
      <c r="P313">
        <f>ROUND(IF(Source!BI104=2,(ROUND((Source!CT104/IF(Source!BA104&lt;&gt;0,Source!BA104,1)*Source!I104),2)+ROUND((Source!CR104/IF(Source!BB104&lt;&gt;0,Source!BB104,1)*Source!I104),2)+ROUND((Source!CQ104/IF(Source!BC104&lt;&gt;0,Source!BC104,1)*Source!I104),2)+((Source!DN104/100)*ROUND((Source!CT104/IF(Source!BA104&lt;&gt;0,Source!BA104,1)*Source!I104),2))+((Source!DO104/100)*ROUND((Source!CT104/IF(Source!BA104&lt;&gt;0,Source!BA104,1)*Source!I104),2))+(ROUND((Source!CS104/IF(Source!BS104&lt;&gt;0,Source!BS104,1)*Source!I104),2)*1.75)),0),2)</f>
        <v>30.24</v>
      </c>
      <c r="Q313">
        <f>ROUND(IF(Source!BI104=3,(ROUND((Source!CT104/IF(Source!BA104&lt;&gt;0,Source!BA104,1)*Source!I104),2)+ROUND((Source!CR104/IF(Source!BB104&lt;&gt;0,Source!BB104,1)*Source!I104),2)+ROUND((Source!CQ104/IF(Source!BC104&lt;&gt;0,Source!BC104,1)*Source!I104),2)+((Source!DN104/100)*ROUND((Source!CT104/IF(Source!BA104&lt;&gt;0,Source!BA104,1)*Source!I104),2))+((Source!DO104/100)*ROUND((Source!CT104/IF(Source!BA104&lt;&gt;0,Source!BA104,1)*Source!I104),2))+(ROUND((Source!CS104/IF(Source!BS104&lt;&gt;0,Source!BS104,1)*Source!I104),2)*1.75)),0),2)</f>
        <v>0</v>
      </c>
      <c r="R313">
        <f>ROUND(IF(Source!BI104=4,(ROUND((Source!CT104/IF(Source!BA104&lt;&gt;0,Source!BA104,1)*Source!I104),2)+ROUND((Source!CR104/IF(Source!BB104&lt;&gt;0,Source!BB104,1)*Source!I104),2)+ROUND((Source!CQ104/IF(Source!BC104&lt;&gt;0,Source!BC104,1)*Source!I104),2)+((Source!DN104/100)*ROUND((Source!CT104/IF(Source!BA104&lt;&gt;0,Source!BA104,1)*Source!I104),2))+((Source!DO104/100)*ROUND((Source!CT104/IF(Source!BA104&lt;&gt;0,Source!BA104,1)*Source!I104),2))+(ROUND((Source!CS104/IF(Source!BS104&lt;&gt;0,Source!BS104,1)*Source!I104),2)*1.75)),0),2)</f>
        <v>0</v>
      </c>
      <c r="U313">
        <f>IF(Source!BI104=1,Source!O104+Source!X104+Source!Y104+Source!R104*167/100,0)</f>
        <v>0</v>
      </c>
      <c r="V313">
        <f>IF(Source!BI104=2,Source!O104+Source!X104+Source!Y104+Source!R104*167/100,0)</f>
        <v>112.79</v>
      </c>
      <c r="W313">
        <f>IF(Source!BI104=3,Source!O104+Source!X104+Source!Y104+Source!R104*167/100,0)</f>
        <v>0</v>
      </c>
      <c r="X313">
        <f>IF(Source!BI104=4,Source!O104+Source!X104+Source!Y104+Source!R104*167/100,0)</f>
        <v>0</v>
      </c>
    </row>
    <row r="314" spans="1:25" ht="108">
      <c r="A314" s="26" t="str">
        <f>Source!E105</f>
        <v>36</v>
      </c>
      <c r="B314" s="26" t="str">
        <f>Source!F105</f>
        <v>1.23-4-355</v>
      </c>
      <c r="C314" s="9" t="str">
        <f>Source!G105</f>
        <v>КАБЕЛИ ВЫСОКОЧАСТОТНЫЕ С МЕДНЫМИ ЖИЛАМИ С ПОЛИЭТИЛЕНОВОЙ ИЗОЛЯЦИЕЙ В ОБОЛОЧКЕ ИЗ ПОЛИВИНИЛХЛОРИДНОГО ПЛАСТИКАТА, БЕЗ ЭКРАНА, МАРКА КВП (PARLAN U/UTP) CAT 5E, ЧИСЛО ЭЛЕМЕНТОВ И ДИАМЕТР ЖИЛЫ, ММ:1Х2Х0,52</v>
      </c>
      <c r="D314" s="27" t="str">
        <f>Source!H105</f>
        <v>км</v>
      </c>
      <c r="E314" s="8">
        <f>ROUND(Source!I105,6)</f>
        <v>0.00408</v>
      </c>
      <c r="F314" s="8"/>
      <c r="G314" s="8"/>
      <c r="H314" s="8"/>
      <c r="I314" s="8"/>
      <c r="J314" s="8"/>
      <c r="K314" s="8"/>
      <c r="Y314">
        <v>36</v>
      </c>
    </row>
    <row r="315" spans="1:11" ht="12.75">
      <c r="A315" s="30"/>
      <c r="B315" s="30"/>
      <c r="C315" s="30" t="s">
        <v>655</v>
      </c>
      <c r="D315" s="30"/>
      <c r="E315" s="30"/>
      <c r="F315" s="32">
        <f>Source!AL105</f>
        <v>469.93</v>
      </c>
      <c r="G315" s="30">
        <f>Source!DD105</f>
      </c>
      <c r="H315" s="30">
        <f>Source!AW105</f>
        <v>1</v>
      </c>
      <c r="I315" s="32">
        <f>ROUND((Source!CQ105/IF(Source!BC105&lt;&gt;0,Source!BC105,1)*Source!I105),2)</f>
        <v>1.92</v>
      </c>
      <c r="J315" s="30">
        <f>Source!BC105</f>
        <v>6.94</v>
      </c>
      <c r="K315" s="32"/>
    </row>
    <row r="316" spans="9:24" ht="12.75">
      <c r="I316" s="33">
        <f>ROUND((Source!CT105/IF(Source!BA105&lt;&gt;0,Source!BA105,1)*Source!I105),2)+ROUND((Source!CR105/IF(Source!BB105&lt;&gt;0,Source!BB105,1)*Source!I105),2)+ROUND((Source!CQ105/IF(Source!BC105&lt;&gt;0,Source!BC105,1)*Source!I105),2)</f>
        <v>1.92</v>
      </c>
      <c r="J316" s="34"/>
      <c r="K316" s="33"/>
      <c r="L316">
        <f>ROUND((Source!CT105/IF(Source!BA105&lt;&gt;0,Source!BA105,1)*Source!I105),2)</f>
        <v>0</v>
      </c>
      <c r="M316" s="12">
        <f>I316</f>
        <v>1.92</v>
      </c>
      <c r="N316" s="12">
        <f>K316</f>
        <v>0</v>
      </c>
      <c r="O316">
        <f>ROUND(IF(Source!BI105=1,(ROUND((Source!CT105/IF(Source!BA105&lt;&gt;0,Source!BA105,1)*Source!I105),2)+ROUND((Source!CR105/IF(Source!BB105&lt;&gt;0,Source!BB105,1)*Source!I105),2)+ROUND((Source!CQ105/IF(Source!BC105&lt;&gt;0,Source!BC105,1)*Source!I105),2)+((Source!DN105/100)*ROUND((Source!CT105/IF(Source!BA105&lt;&gt;0,Source!BA105,1)*Source!I105),2))+((Source!DO105/100)*ROUND((Source!CT105/IF(Source!BA105&lt;&gt;0,Source!BA105,1)*Source!I105),2))+(ROUND((Source!CS105/IF(Source!BS105&lt;&gt;0,Source!BS105,1)*Source!I105),2)*1.75)),0),2)</f>
        <v>0</v>
      </c>
      <c r="P316">
        <f>ROUND(IF(Source!BI105=2,(ROUND((Source!CT105/IF(Source!BA105&lt;&gt;0,Source!BA105,1)*Source!I105),2)+ROUND((Source!CR105/IF(Source!BB105&lt;&gt;0,Source!BB105,1)*Source!I105),2)+ROUND((Source!CQ105/IF(Source!BC105&lt;&gt;0,Source!BC105,1)*Source!I105),2)+((Source!DN105/100)*ROUND((Source!CT105/IF(Source!BA105&lt;&gt;0,Source!BA105,1)*Source!I105),2))+((Source!DO105/100)*ROUND((Source!CT105/IF(Source!BA105&lt;&gt;0,Source!BA105,1)*Source!I105),2))+(ROUND((Source!CS105/IF(Source!BS105&lt;&gt;0,Source!BS105,1)*Source!I105),2)*1.75)),0),2)</f>
        <v>1.92</v>
      </c>
      <c r="Q316">
        <f>ROUND(IF(Source!BI105=3,(ROUND((Source!CT105/IF(Source!BA105&lt;&gt;0,Source!BA105,1)*Source!I105),2)+ROUND((Source!CR105/IF(Source!BB105&lt;&gt;0,Source!BB105,1)*Source!I105),2)+ROUND((Source!CQ105/IF(Source!BC105&lt;&gt;0,Source!BC105,1)*Source!I105),2)+((Source!DN105/100)*ROUND((Source!CT105/IF(Source!BA105&lt;&gt;0,Source!BA105,1)*Source!I105),2))+((Source!DO105/100)*ROUND((Source!CT105/IF(Source!BA105&lt;&gt;0,Source!BA105,1)*Source!I105),2))+(ROUND((Source!CS105/IF(Source!BS105&lt;&gt;0,Source!BS105,1)*Source!I105),2)*1.75)),0),2)</f>
        <v>0</v>
      </c>
      <c r="R316">
        <f>ROUND(IF(Source!BI105=4,(ROUND((Source!CT105/IF(Source!BA105&lt;&gt;0,Source!BA105,1)*Source!I105),2)+ROUND((Source!CR105/IF(Source!BB105&lt;&gt;0,Source!BB105,1)*Source!I105),2)+ROUND((Source!CQ105/IF(Source!BC105&lt;&gt;0,Source!BC105,1)*Source!I105),2)+((Source!DN105/100)*ROUND((Source!CT105/IF(Source!BA105&lt;&gt;0,Source!BA105,1)*Source!I105),2))+((Source!DO105/100)*ROUND((Source!CT105/IF(Source!BA105&lt;&gt;0,Source!BA105,1)*Source!I105),2))+(ROUND((Source!CS105/IF(Source!BS105&lt;&gt;0,Source!BS105,1)*Source!I105),2)*1.75)),0),2)</f>
        <v>0</v>
      </c>
      <c r="U316">
        <f>IF(Source!BI105=1,Source!O105+Source!X105+Source!Y105+Source!R105*167/100,0)</f>
        <v>0</v>
      </c>
      <c r="V316">
        <f>IF(Source!BI105=2,Source!O105+Source!X105+Source!Y105+Source!R105*167/100,0)</f>
        <v>13.31</v>
      </c>
      <c r="W316">
        <f>IF(Source!BI105=3,Source!O105+Source!X105+Source!Y105+Source!R105*167/100,0)</f>
        <v>0</v>
      </c>
      <c r="X316">
        <f>IF(Source!BI105=4,Source!O105+Source!X105+Source!Y105+Source!R105*167/100,0)</f>
        <v>0</v>
      </c>
    </row>
    <row r="317" spans="1:25" ht="48">
      <c r="A317" s="26" t="str">
        <f>Source!E106</f>
        <v>37</v>
      </c>
      <c r="B317" s="26" t="str">
        <f>Source!F106</f>
        <v>1.21-5-32</v>
      </c>
      <c r="C317" s="9" t="str">
        <f>Source!G106</f>
        <v>ВЫКЛЮЧАТЕЛИ АВТОМАТИЧЕСКИЕ ОДНОПОЛЮСНЫЕ, НА ТОК ДО 25 А, ТИП А63-МГ, А63-М</v>
      </c>
      <c r="D317" s="27" t="str">
        <f>Source!H106</f>
        <v>шт.</v>
      </c>
      <c r="E317" s="8">
        <f>ROUND(Source!I106,6)</f>
        <v>1</v>
      </c>
      <c r="F317" s="8"/>
      <c r="G317" s="8"/>
      <c r="H317" s="8"/>
      <c r="I317" s="8"/>
      <c r="J317" s="8"/>
      <c r="K317" s="8"/>
      <c r="Y317">
        <v>37</v>
      </c>
    </row>
    <row r="318" spans="1:11" ht="12.75">
      <c r="A318" s="30"/>
      <c r="B318" s="30"/>
      <c r="C318" s="30" t="s">
        <v>655</v>
      </c>
      <c r="D318" s="30"/>
      <c r="E318" s="30"/>
      <c r="F318" s="32">
        <f>Source!AL106</f>
        <v>35.03</v>
      </c>
      <c r="G318" s="30">
        <f>Source!DD106</f>
      </c>
      <c r="H318" s="30">
        <f>Source!AW106</f>
        <v>1</v>
      </c>
      <c r="I318" s="32">
        <f>ROUND((Source!CQ106/IF(Source!BC106&lt;&gt;0,Source!BC106,1)*Source!I106),2)</f>
        <v>35.03</v>
      </c>
      <c r="J318" s="30">
        <f>Source!BC106</f>
        <v>5.09</v>
      </c>
      <c r="K318" s="32"/>
    </row>
    <row r="319" spans="9:24" ht="12.75">
      <c r="I319" s="33">
        <f>ROUND((Source!CT106/IF(Source!BA106&lt;&gt;0,Source!BA106,1)*Source!I106),2)+ROUND((Source!CR106/IF(Source!BB106&lt;&gt;0,Source!BB106,1)*Source!I106),2)+ROUND((Source!CQ106/IF(Source!BC106&lt;&gt;0,Source!BC106,1)*Source!I106),2)</f>
        <v>35.03</v>
      </c>
      <c r="J319" s="34"/>
      <c r="K319" s="33"/>
      <c r="L319">
        <f>ROUND((Source!CT106/IF(Source!BA106&lt;&gt;0,Source!BA106,1)*Source!I106),2)</f>
        <v>0</v>
      </c>
      <c r="M319" s="12">
        <f>I319</f>
        <v>35.03</v>
      </c>
      <c r="N319" s="12">
        <f>K319</f>
        <v>0</v>
      </c>
      <c r="O319">
        <f>ROUND(IF(Source!BI106=1,(ROUND((Source!CT106/IF(Source!BA106&lt;&gt;0,Source!BA106,1)*Source!I106),2)+ROUND((Source!CR106/IF(Source!BB106&lt;&gt;0,Source!BB106,1)*Source!I106),2)+ROUND((Source!CQ106/IF(Source!BC106&lt;&gt;0,Source!BC106,1)*Source!I106),2)+((Source!DN106/100)*ROUND((Source!CT106/IF(Source!BA106&lt;&gt;0,Source!BA106,1)*Source!I106),2))+((Source!DO106/100)*ROUND((Source!CT106/IF(Source!BA106&lt;&gt;0,Source!BA106,1)*Source!I106),2))+(ROUND((Source!CS106/IF(Source!BS106&lt;&gt;0,Source!BS106,1)*Source!I106),2)*1.75)),0),2)</f>
        <v>0</v>
      </c>
      <c r="P319">
        <f>ROUND(IF(Source!BI106=2,(ROUND((Source!CT106/IF(Source!BA106&lt;&gt;0,Source!BA106,1)*Source!I106),2)+ROUND((Source!CR106/IF(Source!BB106&lt;&gt;0,Source!BB106,1)*Source!I106),2)+ROUND((Source!CQ106/IF(Source!BC106&lt;&gt;0,Source!BC106,1)*Source!I106),2)+((Source!DN106/100)*ROUND((Source!CT106/IF(Source!BA106&lt;&gt;0,Source!BA106,1)*Source!I106),2))+((Source!DO106/100)*ROUND((Source!CT106/IF(Source!BA106&lt;&gt;0,Source!BA106,1)*Source!I106),2))+(ROUND((Source!CS106/IF(Source!BS106&lt;&gt;0,Source!BS106,1)*Source!I106),2)*1.75)),0),2)</f>
        <v>35.03</v>
      </c>
      <c r="Q319">
        <f>ROUND(IF(Source!BI106=3,(ROUND((Source!CT106/IF(Source!BA106&lt;&gt;0,Source!BA106,1)*Source!I106),2)+ROUND((Source!CR106/IF(Source!BB106&lt;&gt;0,Source!BB106,1)*Source!I106),2)+ROUND((Source!CQ106/IF(Source!BC106&lt;&gt;0,Source!BC106,1)*Source!I106),2)+((Source!DN106/100)*ROUND((Source!CT106/IF(Source!BA106&lt;&gt;0,Source!BA106,1)*Source!I106),2))+((Source!DO106/100)*ROUND((Source!CT106/IF(Source!BA106&lt;&gt;0,Source!BA106,1)*Source!I106),2))+(ROUND((Source!CS106/IF(Source!BS106&lt;&gt;0,Source!BS106,1)*Source!I106),2)*1.75)),0),2)</f>
        <v>0</v>
      </c>
      <c r="R319">
        <f>ROUND(IF(Source!BI106=4,(ROUND((Source!CT106/IF(Source!BA106&lt;&gt;0,Source!BA106,1)*Source!I106),2)+ROUND((Source!CR106/IF(Source!BB106&lt;&gt;0,Source!BB106,1)*Source!I106),2)+ROUND((Source!CQ106/IF(Source!BC106&lt;&gt;0,Source!BC106,1)*Source!I106),2)+((Source!DN106/100)*ROUND((Source!CT106/IF(Source!BA106&lt;&gt;0,Source!BA106,1)*Source!I106),2))+((Source!DO106/100)*ROUND((Source!CT106/IF(Source!BA106&lt;&gt;0,Source!BA106,1)*Source!I106),2))+(ROUND((Source!CS106/IF(Source!BS106&lt;&gt;0,Source!BS106,1)*Source!I106),2)*1.75)),0),2)</f>
        <v>0</v>
      </c>
      <c r="U319">
        <f>IF(Source!BI106=1,Source!O106+Source!X106+Source!Y106+Source!R106*167/100,0)</f>
        <v>0</v>
      </c>
      <c r="V319">
        <f>IF(Source!BI106=2,Source!O106+Source!X106+Source!Y106+Source!R106*167/100,0)</f>
        <v>178.3</v>
      </c>
      <c r="W319">
        <f>IF(Source!BI106=3,Source!O106+Source!X106+Source!Y106+Source!R106*167/100,0)</f>
        <v>0</v>
      </c>
      <c r="X319">
        <f>IF(Source!BI106=4,Source!O106+Source!X106+Source!Y106+Source!R106*167/100,0)</f>
        <v>0</v>
      </c>
    </row>
    <row r="320" spans="1:25" ht="36">
      <c r="A320" s="26" t="str">
        <f>Source!E107</f>
        <v>38</v>
      </c>
      <c r="B320" s="26" t="str">
        <f>Source!F107</f>
        <v>1.21-5-1134</v>
      </c>
      <c r="C320" s="9" t="str">
        <f>Source!G107</f>
        <v>ХОМУТЫ (СТЯЖКИ) КАБЕЛЬНЫЕ ИЗ ПОЛИАМИДА, РАЗМЕРЫ 4,8Х300 ММ</v>
      </c>
      <c r="D320" s="27" t="str">
        <f>Source!H107</f>
        <v>100 шт.</v>
      </c>
      <c r="E320" s="8">
        <f>ROUND(Source!I107,6)</f>
        <v>0.89</v>
      </c>
      <c r="F320" s="8"/>
      <c r="G320" s="8"/>
      <c r="H320" s="8"/>
      <c r="I320" s="8"/>
      <c r="J320" s="8"/>
      <c r="K320" s="8"/>
      <c r="Y320">
        <v>38</v>
      </c>
    </row>
    <row r="321" spans="1:11" ht="12.75">
      <c r="A321" s="30"/>
      <c r="B321" s="30"/>
      <c r="C321" s="30" t="s">
        <v>655</v>
      </c>
      <c r="D321" s="30"/>
      <c r="E321" s="30"/>
      <c r="F321" s="32">
        <f>Source!AL107</f>
        <v>59.47</v>
      </c>
      <c r="G321" s="30">
        <f>Source!DD107</f>
      </c>
      <c r="H321" s="30">
        <f>Source!AW107</f>
        <v>1</v>
      </c>
      <c r="I321" s="32">
        <f>ROUND((Source!CQ107/IF(Source!BC107&lt;&gt;0,Source!BC107,1)*Source!I107),2)</f>
        <v>52.93</v>
      </c>
      <c r="J321" s="30">
        <f>Source!BC107</f>
        <v>3.45</v>
      </c>
      <c r="K321" s="32"/>
    </row>
    <row r="322" spans="9:24" ht="12.75">
      <c r="I322" s="33">
        <f>ROUND((Source!CT107/IF(Source!BA107&lt;&gt;0,Source!BA107,1)*Source!I107),2)+ROUND((Source!CR107/IF(Source!BB107&lt;&gt;0,Source!BB107,1)*Source!I107),2)+ROUND((Source!CQ107/IF(Source!BC107&lt;&gt;0,Source!BC107,1)*Source!I107),2)</f>
        <v>52.93</v>
      </c>
      <c r="J322" s="34"/>
      <c r="K322" s="33"/>
      <c r="L322">
        <f>ROUND((Source!CT107/IF(Source!BA107&lt;&gt;0,Source!BA107,1)*Source!I107),2)</f>
        <v>0</v>
      </c>
      <c r="M322" s="12">
        <f>I322</f>
        <v>52.93</v>
      </c>
      <c r="N322" s="12">
        <f>K322</f>
        <v>0</v>
      </c>
      <c r="O322">
        <f>ROUND(IF(Source!BI107=1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P322">
        <f>ROUND(IF(Source!BI107=2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52.93</v>
      </c>
      <c r="Q322">
        <f>ROUND(IF(Source!BI107=3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R322">
        <f>ROUND(IF(Source!BI107=4,(ROUND((Source!CT107/IF(Source!BA107&lt;&gt;0,Source!BA107,1)*Source!I107),2)+ROUND((Source!CR107/IF(Source!BB107&lt;&gt;0,Source!BB107,1)*Source!I107),2)+ROUND((Source!CQ107/IF(Source!BC107&lt;&gt;0,Source!BC107,1)*Source!I107),2)+((Source!DN107/100)*ROUND((Source!CT107/IF(Source!BA107&lt;&gt;0,Source!BA107,1)*Source!I107),2))+((Source!DO107/100)*ROUND((Source!CT107/IF(Source!BA107&lt;&gt;0,Source!BA107,1)*Source!I107),2))+(ROUND((Source!CS107/IF(Source!BS107&lt;&gt;0,Source!BS107,1)*Source!I107),2)*1.75)),0),2)</f>
        <v>0</v>
      </c>
      <c r="U322">
        <f>IF(Source!BI107=1,Source!O107+Source!X107+Source!Y107+Source!R107*167/100,0)</f>
        <v>0</v>
      </c>
      <c r="V322">
        <f>IF(Source!BI107=2,Source!O107+Source!X107+Source!Y107+Source!R107*167/100,0)</f>
        <v>182.6</v>
      </c>
      <c r="W322">
        <f>IF(Source!BI107=3,Source!O107+Source!X107+Source!Y107+Source!R107*167/100,0)</f>
        <v>0</v>
      </c>
      <c r="X322">
        <f>IF(Source!BI107=4,Source!O107+Source!X107+Source!Y107+Source!R107*167/100,0)</f>
        <v>0</v>
      </c>
    </row>
    <row r="323" spans="1:25" ht="36">
      <c r="A323" s="26" t="str">
        <f>Source!E108</f>
        <v>39</v>
      </c>
      <c r="B323" s="26" t="str">
        <f>Source!F108</f>
        <v>1.21-5-1098</v>
      </c>
      <c r="C323" s="9" t="str">
        <f>Source!G108</f>
        <v>КОМПЛЕКТЫ КРЕПЛЕНИЯ СВЕТОФОРОВ НА ОПОРУ, С ХОМУТАМИ (2 ШТ.)</v>
      </c>
      <c r="D323" s="27" t="str">
        <f>Source!H108</f>
        <v>компл.</v>
      </c>
      <c r="E323" s="8">
        <f>ROUND(Source!I108,6)</f>
        <v>4</v>
      </c>
      <c r="F323" s="8"/>
      <c r="G323" s="8"/>
      <c r="H323" s="8"/>
      <c r="I323" s="8"/>
      <c r="J323" s="8"/>
      <c r="K323" s="8"/>
      <c r="Y323">
        <v>39</v>
      </c>
    </row>
    <row r="324" spans="1:11" ht="12.75">
      <c r="A324" s="30"/>
      <c r="B324" s="30"/>
      <c r="C324" s="30" t="s">
        <v>655</v>
      </c>
      <c r="D324" s="30"/>
      <c r="E324" s="30"/>
      <c r="F324" s="32">
        <f>Source!AL108</f>
        <v>314.04</v>
      </c>
      <c r="G324" s="30">
        <f>Source!DD108</f>
      </c>
      <c r="H324" s="30">
        <f>Source!AW108</f>
        <v>1</v>
      </c>
      <c r="I324" s="32">
        <f>ROUND((Source!CQ108/IF(Source!BC108&lt;&gt;0,Source!BC108,1)*Source!I108),2)</f>
        <v>1256.16</v>
      </c>
      <c r="J324" s="30">
        <f>Source!BC108</f>
        <v>2.73</v>
      </c>
      <c r="K324" s="32"/>
    </row>
    <row r="325" spans="9:24" ht="12.75">
      <c r="I325" s="33">
        <f>ROUND((Source!CT108/IF(Source!BA108&lt;&gt;0,Source!BA108,1)*Source!I108),2)+ROUND((Source!CR108/IF(Source!BB108&lt;&gt;0,Source!BB108,1)*Source!I108),2)+ROUND((Source!CQ108/IF(Source!BC108&lt;&gt;0,Source!BC108,1)*Source!I108),2)</f>
        <v>1256.16</v>
      </c>
      <c r="J325" s="34"/>
      <c r="K325" s="33"/>
      <c r="L325">
        <f>ROUND((Source!CT108/IF(Source!BA108&lt;&gt;0,Source!BA108,1)*Source!I108),2)</f>
        <v>0</v>
      </c>
      <c r="M325" s="12">
        <f>I325</f>
        <v>1256.16</v>
      </c>
      <c r="N325" s="12">
        <f>K325</f>
        <v>0</v>
      </c>
      <c r="O325">
        <f>ROUND(IF(Source!BI108=1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P325">
        <f>ROUND(IF(Source!BI108=2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1256.16</v>
      </c>
      <c r="Q325">
        <f>ROUND(IF(Source!BI108=3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R325">
        <f>ROUND(IF(Source!BI108=4,(ROUND((Source!CT108/IF(Source!BA108&lt;&gt;0,Source!BA108,1)*Source!I108),2)+ROUND((Source!CR108/IF(Source!BB108&lt;&gt;0,Source!BB108,1)*Source!I108),2)+ROUND((Source!CQ108/IF(Source!BC108&lt;&gt;0,Source!BC108,1)*Source!I108),2)+((Source!DN108/100)*ROUND((Source!CT108/IF(Source!BA108&lt;&gt;0,Source!BA108,1)*Source!I108),2))+((Source!DO108/100)*ROUND((Source!CT108/IF(Source!BA108&lt;&gt;0,Source!BA108,1)*Source!I108),2))+(ROUND((Source!CS108/IF(Source!BS108&lt;&gt;0,Source!BS108,1)*Source!I108),2)*1.75)),0),2)</f>
        <v>0</v>
      </c>
      <c r="U325">
        <f>IF(Source!BI108=1,Source!O108+Source!X108+Source!Y108+Source!R108*167/100,0)</f>
        <v>0</v>
      </c>
      <c r="V325">
        <f>IF(Source!BI108=2,Source!O108+Source!X108+Source!Y108+Source!R108*167/100,0)</f>
        <v>3429.32</v>
      </c>
      <c r="W325">
        <f>IF(Source!BI108=3,Source!O108+Source!X108+Source!Y108+Source!R108*167/100,0)</f>
        <v>0</v>
      </c>
      <c r="X325">
        <f>IF(Source!BI108=4,Source!O108+Source!X108+Source!Y108+Source!R108*167/100,0)</f>
        <v>0</v>
      </c>
    </row>
    <row r="326" spans="1:25" ht="24">
      <c r="A326" s="26" t="str">
        <f>Source!E109</f>
        <v>40</v>
      </c>
      <c r="B326" s="26" t="str">
        <f>Source!F109</f>
        <v>1.14-1-207</v>
      </c>
      <c r="C326" s="9" t="str">
        <f>Source!G109</f>
        <v>КОННЕКТОРЫ, РАЗЪЕМЫ, ПЕРЕХОДНИКИ ТИП FC</v>
      </c>
      <c r="D326" s="27" t="str">
        <f>Source!H109</f>
        <v>шт.</v>
      </c>
      <c r="E326" s="8">
        <f>ROUND(Source!I109,6)</f>
        <v>2</v>
      </c>
      <c r="F326" s="8"/>
      <c r="G326" s="8"/>
      <c r="H326" s="8"/>
      <c r="I326" s="8"/>
      <c r="J326" s="8"/>
      <c r="K326" s="8"/>
      <c r="Y326">
        <v>40</v>
      </c>
    </row>
    <row r="327" spans="1:11" ht="12.75">
      <c r="A327" s="30"/>
      <c r="B327" s="30"/>
      <c r="C327" s="30" t="s">
        <v>655</v>
      </c>
      <c r="D327" s="30"/>
      <c r="E327" s="30"/>
      <c r="F327" s="32">
        <f>Source!AL109</f>
        <v>13.89</v>
      </c>
      <c r="G327" s="30">
        <f>Source!DD109</f>
      </c>
      <c r="H327" s="30">
        <f>Source!AW109</f>
        <v>1</v>
      </c>
      <c r="I327" s="32">
        <f>ROUND((Source!CQ109/IF(Source!BC109&lt;&gt;0,Source!BC109,1)*Source!I109),2)</f>
        <v>27.78</v>
      </c>
      <c r="J327" s="30">
        <f>Source!BC109</f>
        <v>1.57</v>
      </c>
      <c r="K327" s="32"/>
    </row>
    <row r="328" spans="9:24" ht="12.75">
      <c r="I328" s="33">
        <f>ROUND((Source!CT109/IF(Source!BA109&lt;&gt;0,Source!BA109,1)*Source!I109),2)+ROUND((Source!CR109/IF(Source!BB109&lt;&gt;0,Source!BB109,1)*Source!I109),2)+ROUND((Source!CQ109/IF(Source!BC109&lt;&gt;0,Source!BC109,1)*Source!I109),2)</f>
        <v>27.78</v>
      </c>
      <c r="J328" s="34"/>
      <c r="K328" s="33"/>
      <c r="L328">
        <f>ROUND((Source!CT109/IF(Source!BA109&lt;&gt;0,Source!BA109,1)*Source!I109),2)</f>
        <v>0</v>
      </c>
      <c r="M328" s="12">
        <f>I328</f>
        <v>27.78</v>
      </c>
      <c r="N328" s="12">
        <f>K328</f>
        <v>0</v>
      </c>
      <c r="O328">
        <f>ROUND(IF(Source!BI109=1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P328">
        <f>ROUND(IF(Source!BI109=2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27.78</v>
      </c>
      <c r="Q328">
        <f>ROUND(IF(Source!BI109=3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R328">
        <f>ROUND(IF(Source!BI109=4,(ROUND((Source!CT109/IF(Source!BA109&lt;&gt;0,Source!BA109,1)*Source!I109),2)+ROUND((Source!CR109/IF(Source!BB109&lt;&gt;0,Source!BB109,1)*Source!I109),2)+ROUND((Source!CQ109/IF(Source!BC109&lt;&gt;0,Source!BC109,1)*Source!I109),2)+((Source!DN109/100)*ROUND((Source!CT109/IF(Source!BA109&lt;&gt;0,Source!BA109,1)*Source!I109),2))+((Source!DO109/100)*ROUND((Source!CT109/IF(Source!BA109&lt;&gt;0,Source!BA109,1)*Source!I109),2))+(ROUND((Source!CS109/IF(Source!BS109&lt;&gt;0,Source!BS109,1)*Source!I109),2)*1.75)),0),2)</f>
        <v>0</v>
      </c>
      <c r="U328">
        <f>IF(Source!BI109=1,Source!O109+Source!X109+Source!Y109+Source!R109*167/100,0)</f>
        <v>0</v>
      </c>
      <c r="V328">
        <f>IF(Source!BI109=2,Source!O109+Source!X109+Source!Y109+Source!R109*167/100,0)</f>
        <v>43.61</v>
      </c>
      <c r="W328">
        <f>IF(Source!BI109=3,Source!O109+Source!X109+Source!Y109+Source!R109*167/100,0)</f>
        <v>0</v>
      </c>
      <c r="X328">
        <f>IF(Source!BI109=4,Source!O109+Source!X109+Source!Y109+Source!R109*167/100,0)</f>
        <v>0</v>
      </c>
    </row>
    <row r="329" spans="1:25" ht="24">
      <c r="A329" s="26" t="str">
        <f>Source!E110</f>
        <v>41</v>
      </c>
      <c r="B329" s="26" t="str">
        <f>Source!F110</f>
        <v>ЦЕНА ПОСТ</v>
      </c>
      <c r="C329" s="9" t="str">
        <f>Source!G110</f>
        <v>КАБЕЛЬ РК 75-3,7-36Ф (ЦЕНА: 9,50 / 1,18/4,26 * 1,02 = 1,93 РУБ.)</v>
      </c>
      <c r="D329" s="27" t="str">
        <f>Source!H110</f>
        <v>м</v>
      </c>
      <c r="E329" s="8">
        <f>ROUND(Source!I110,6)</f>
        <v>4.08</v>
      </c>
      <c r="F329" s="8"/>
      <c r="G329" s="8"/>
      <c r="H329" s="8"/>
      <c r="I329" s="8"/>
      <c r="J329" s="8"/>
      <c r="K329" s="8"/>
      <c r="Y329">
        <v>41</v>
      </c>
    </row>
    <row r="330" spans="1:11" ht="12.75">
      <c r="A330" s="30"/>
      <c r="B330" s="30"/>
      <c r="C330" s="30" t="s">
        <v>655</v>
      </c>
      <c r="D330" s="30"/>
      <c r="E330" s="30"/>
      <c r="F330" s="32">
        <f>Source!AL110</f>
        <v>1.93</v>
      </c>
      <c r="G330" s="30">
        <f>Source!DD110</f>
      </c>
      <c r="H330" s="30">
        <f>Source!AW110</f>
        <v>1</v>
      </c>
      <c r="I330" s="32">
        <f>ROUND((Source!CQ110/IF(Source!BC110&lt;&gt;0,Source!BC110,1)*Source!I110),2)</f>
        <v>7.87</v>
      </c>
      <c r="J330" s="30">
        <f>Source!BC110</f>
        <v>4.26</v>
      </c>
      <c r="K330" s="32"/>
    </row>
    <row r="331" spans="9:24" ht="12.75">
      <c r="I331" s="33">
        <f>ROUND((Source!CT110/IF(Source!BA110&lt;&gt;0,Source!BA110,1)*Source!I110),2)+ROUND((Source!CR110/IF(Source!BB110&lt;&gt;0,Source!BB110,1)*Source!I110),2)+ROUND((Source!CQ110/IF(Source!BC110&lt;&gt;0,Source!BC110,1)*Source!I110),2)</f>
        <v>7.87</v>
      </c>
      <c r="J331" s="34"/>
      <c r="K331" s="33"/>
      <c r="L331">
        <f>ROUND((Source!CT110/IF(Source!BA110&lt;&gt;0,Source!BA110,1)*Source!I110),2)</f>
        <v>0</v>
      </c>
      <c r="M331" s="12">
        <f>I331</f>
        <v>7.87</v>
      </c>
      <c r="N331" s="12">
        <f>K331</f>
        <v>0</v>
      </c>
      <c r="O331">
        <f>ROUND(IF(Source!BI110=1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P331">
        <f>ROUND(IF(Source!BI110=2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7.87</v>
      </c>
      <c r="Q331">
        <f>ROUND(IF(Source!BI110=3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R331">
        <f>ROUND(IF(Source!BI110=4,(ROUND((Source!CT110/IF(Source!BA110&lt;&gt;0,Source!BA110,1)*Source!I110),2)+ROUND((Source!CR110/IF(Source!BB110&lt;&gt;0,Source!BB110,1)*Source!I110),2)+ROUND((Source!CQ110/IF(Source!BC110&lt;&gt;0,Source!BC110,1)*Source!I110),2)+((Source!DN110/100)*ROUND((Source!CT110/IF(Source!BA110&lt;&gt;0,Source!BA110,1)*Source!I110),2))+((Source!DO110/100)*ROUND((Source!CT110/IF(Source!BA110&lt;&gt;0,Source!BA110,1)*Source!I110),2))+(ROUND((Source!CS110/IF(Source!BS110&lt;&gt;0,Source!BS110,1)*Source!I110),2)*1.75)),0),2)</f>
        <v>0</v>
      </c>
      <c r="U331">
        <f>IF(Source!BI110=1,Source!O110+Source!X110+Source!Y110+Source!R110*167/100,0)</f>
        <v>0</v>
      </c>
      <c r="V331">
        <f>IF(Source!BI110=2,Source!O110+Source!X110+Source!Y110+Source!R110*167/100,0)</f>
        <v>33.54</v>
      </c>
      <c r="W331">
        <f>IF(Source!BI110=3,Source!O110+Source!X110+Source!Y110+Source!R110*167/100,0)</f>
        <v>0</v>
      </c>
      <c r="X331">
        <f>IF(Source!BI110=4,Source!O110+Source!X110+Source!Y110+Source!R110*167/100,0)</f>
        <v>0</v>
      </c>
    </row>
    <row r="332" spans="1:25" ht="36">
      <c r="A332" s="26" t="str">
        <f>Source!E111</f>
        <v>42</v>
      </c>
      <c r="B332" s="26" t="str">
        <f>Source!F111</f>
        <v>ЦЕНА ПОСТ</v>
      </c>
      <c r="C332" s="9" t="str">
        <f>Source!G111</f>
        <v>КАБЕЛЬ ОККМ-01-1Х4Е3-2,7 КН (ЦЕНА: 36,57 / 1,18/4,26 * 1,02 = 7,42 РУБ.)</v>
      </c>
      <c r="D332" s="27" t="str">
        <f>Source!H111</f>
        <v>м</v>
      </c>
      <c r="E332" s="8">
        <f>ROUND(Source!I111,6)</f>
        <v>90.78</v>
      </c>
      <c r="F332" s="8"/>
      <c r="G332" s="8"/>
      <c r="H332" s="8"/>
      <c r="I332" s="8"/>
      <c r="J332" s="8"/>
      <c r="K332" s="8"/>
      <c r="Y332">
        <v>42</v>
      </c>
    </row>
    <row r="333" spans="1:11" ht="12.75">
      <c r="A333" s="30"/>
      <c r="B333" s="30"/>
      <c r="C333" s="30" t="s">
        <v>655</v>
      </c>
      <c r="D333" s="30"/>
      <c r="E333" s="30"/>
      <c r="F333" s="32">
        <f>Source!AL111</f>
        <v>7.42</v>
      </c>
      <c r="G333" s="30">
        <f>Source!DD111</f>
      </c>
      <c r="H333" s="30">
        <f>Source!AW111</f>
        <v>1</v>
      </c>
      <c r="I333" s="32">
        <f>ROUND((Source!CQ111/IF(Source!BC111&lt;&gt;0,Source!BC111,1)*Source!I111),2)</f>
        <v>673.59</v>
      </c>
      <c r="J333" s="30">
        <f>Source!BC111</f>
        <v>4.26</v>
      </c>
      <c r="K333" s="32"/>
    </row>
    <row r="334" spans="9:24" ht="12.75">
      <c r="I334" s="33">
        <f>ROUND((Source!CT111/IF(Source!BA111&lt;&gt;0,Source!BA111,1)*Source!I111),2)+ROUND((Source!CR111/IF(Source!BB111&lt;&gt;0,Source!BB111,1)*Source!I111),2)+ROUND((Source!CQ111/IF(Source!BC111&lt;&gt;0,Source!BC111,1)*Source!I111),2)</f>
        <v>673.59</v>
      </c>
      <c r="J334" s="34"/>
      <c r="K334" s="33"/>
      <c r="L334">
        <f>ROUND((Source!CT111/IF(Source!BA111&lt;&gt;0,Source!BA111,1)*Source!I111),2)</f>
        <v>0</v>
      </c>
      <c r="M334" s="12">
        <f>I334</f>
        <v>673.59</v>
      </c>
      <c r="N334" s="12">
        <f>K334</f>
        <v>0</v>
      </c>
      <c r="O334">
        <f>ROUND(IF(Source!BI111=1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P334">
        <f>ROUND(IF(Source!BI111=2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673.59</v>
      </c>
      <c r="Q334">
        <f>ROUND(IF(Source!BI111=3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R334">
        <f>ROUND(IF(Source!BI111=4,(ROUND((Source!CT111/IF(Source!BA111&lt;&gt;0,Source!BA111,1)*Source!I111),2)+ROUND((Source!CR111/IF(Source!BB111&lt;&gt;0,Source!BB111,1)*Source!I111),2)+ROUND((Source!CQ111/IF(Source!BC111&lt;&gt;0,Source!BC111,1)*Source!I111),2)+((Source!DN111/100)*ROUND((Source!CT111/IF(Source!BA111&lt;&gt;0,Source!BA111,1)*Source!I111),2))+((Source!DO111/100)*ROUND((Source!CT111/IF(Source!BA111&lt;&gt;0,Source!BA111,1)*Source!I111),2))+(ROUND((Source!CS111/IF(Source!BS111&lt;&gt;0,Source!BS111,1)*Source!I111),2)*1.75)),0),2)</f>
        <v>0</v>
      </c>
      <c r="U334">
        <f>IF(Source!BI111=1,Source!O111+Source!X111+Source!Y111+Source!R111*167/100,0)</f>
        <v>0</v>
      </c>
      <c r="V334">
        <f>IF(Source!BI111=2,Source!O111+Source!X111+Source!Y111+Source!R111*167/100,0)</f>
        <v>2869.48</v>
      </c>
      <c r="W334">
        <f>IF(Source!BI111=3,Source!O111+Source!X111+Source!Y111+Source!R111*167/100,0)</f>
        <v>0</v>
      </c>
      <c r="X334">
        <f>IF(Source!BI111=4,Source!O111+Source!X111+Source!Y111+Source!R111*167/100,0)</f>
        <v>0</v>
      </c>
    </row>
    <row r="335" spans="1:25" ht="36">
      <c r="A335" s="26" t="str">
        <f>Source!E112</f>
        <v>43</v>
      </c>
      <c r="B335" s="26" t="str">
        <f>Source!F112</f>
        <v>ЦЕНА ПОСТ</v>
      </c>
      <c r="C335" s="9" t="str">
        <f>Source!G112</f>
        <v>ПАТЧ-КОРД DUPLEX 9/125 MKM LC-FC = 1.5 M (ЦЕНА: 192,00 / 1,18/4,26 * 1,02 = 38,96 РУБ.)</v>
      </c>
      <c r="D335" s="27" t="str">
        <f>Source!H112</f>
        <v>ШТ</v>
      </c>
      <c r="E335" s="8">
        <f>ROUND(Source!I112,6)</f>
        <v>1</v>
      </c>
      <c r="F335" s="8"/>
      <c r="G335" s="8"/>
      <c r="H335" s="8"/>
      <c r="I335" s="8"/>
      <c r="J335" s="8"/>
      <c r="K335" s="8"/>
      <c r="Y335">
        <v>43</v>
      </c>
    </row>
    <row r="336" spans="1:11" ht="12.75">
      <c r="A336" s="30"/>
      <c r="B336" s="30"/>
      <c r="C336" s="30" t="s">
        <v>655</v>
      </c>
      <c r="D336" s="30"/>
      <c r="E336" s="30"/>
      <c r="F336" s="32">
        <f>Source!AL112</f>
        <v>38.96</v>
      </c>
      <c r="G336" s="30">
        <f>Source!DD112</f>
      </c>
      <c r="H336" s="30">
        <f>Source!AW112</f>
        <v>1</v>
      </c>
      <c r="I336" s="32">
        <f>ROUND((Source!CQ112/IF(Source!BC112&lt;&gt;0,Source!BC112,1)*Source!I112),2)</f>
        <v>38.96</v>
      </c>
      <c r="J336" s="30">
        <f>Source!BC112</f>
        <v>4.26</v>
      </c>
      <c r="K336" s="32"/>
    </row>
    <row r="337" spans="9:24" ht="12.75">
      <c r="I337" s="33">
        <f>ROUND((Source!CT112/IF(Source!BA112&lt;&gt;0,Source!BA112,1)*Source!I112),2)+ROUND((Source!CR112/IF(Source!BB112&lt;&gt;0,Source!BB112,1)*Source!I112),2)+ROUND((Source!CQ112/IF(Source!BC112&lt;&gt;0,Source!BC112,1)*Source!I112),2)</f>
        <v>38.96</v>
      </c>
      <c r="J337" s="34"/>
      <c r="K337" s="33"/>
      <c r="L337">
        <f>ROUND((Source!CT112/IF(Source!BA112&lt;&gt;0,Source!BA112,1)*Source!I112),2)</f>
        <v>0</v>
      </c>
      <c r="M337" s="12">
        <f>I337</f>
        <v>38.96</v>
      </c>
      <c r="N337" s="12">
        <f>K337</f>
        <v>0</v>
      </c>
      <c r="O337">
        <f>ROUND(IF(Source!BI112=1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P337">
        <f>ROUND(IF(Source!BI112=2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38.96</v>
      </c>
      <c r="Q337">
        <f>ROUND(IF(Source!BI112=3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R337">
        <f>ROUND(IF(Source!BI112=4,(ROUND((Source!CT112/IF(Source!BA112&lt;&gt;0,Source!BA112,1)*Source!I112),2)+ROUND((Source!CR112/IF(Source!BB112&lt;&gt;0,Source!BB112,1)*Source!I112),2)+ROUND((Source!CQ112/IF(Source!BC112&lt;&gt;0,Source!BC112,1)*Source!I112),2)+((Source!DN112/100)*ROUND((Source!CT112/IF(Source!BA112&lt;&gt;0,Source!BA112,1)*Source!I112),2))+((Source!DO112/100)*ROUND((Source!CT112/IF(Source!BA112&lt;&gt;0,Source!BA112,1)*Source!I112),2))+(ROUND((Source!CS112/IF(Source!BS112&lt;&gt;0,Source!BS112,1)*Source!I112),2)*1.75)),0),2)</f>
        <v>0</v>
      </c>
      <c r="U337">
        <f>IF(Source!BI112=1,Source!O112+Source!X112+Source!Y112+Source!R112*167/100,0)</f>
        <v>0</v>
      </c>
      <c r="V337">
        <f>IF(Source!BI112=2,Source!O112+Source!X112+Source!Y112+Source!R112*167/100,0)</f>
        <v>165.97</v>
      </c>
      <c r="W337">
        <f>IF(Source!BI112=3,Source!O112+Source!X112+Source!Y112+Source!R112*167/100,0)</f>
        <v>0</v>
      </c>
      <c r="X337">
        <f>IF(Source!BI112=4,Source!O112+Source!X112+Source!Y112+Source!R112*167/100,0)</f>
        <v>0</v>
      </c>
    </row>
    <row r="338" spans="1:25" ht="36">
      <c r="A338" s="26" t="str">
        <f>Source!E113</f>
        <v>44</v>
      </c>
      <c r="B338" s="26" t="str">
        <f>Source!F113</f>
        <v>ЦЕНА ПОСТ</v>
      </c>
      <c r="C338" s="9" t="str">
        <f>Source!G113</f>
        <v>БИРКИ МАРКИРОВОЧНЫЕ 100 ШТ (ЦЕНА: 792,41 / 1,18/4,26 * 1,02 = 160,79 РУБ.)</v>
      </c>
      <c r="D338" s="27" t="str">
        <f>Source!H113</f>
        <v>УПАК</v>
      </c>
      <c r="E338" s="8">
        <f>ROUND(Source!I113,6)</f>
        <v>1</v>
      </c>
      <c r="F338" s="8"/>
      <c r="G338" s="8"/>
      <c r="H338" s="8"/>
      <c r="I338" s="8"/>
      <c r="J338" s="8"/>
      <c r="K338" s="8"/>
      <c r="Y338">
        <v>44</v>
      </c>
    </row>
    <row r="339" spans="1:11" ht="12.75">
      <c r="A339" s="30"/>
      <c r="B339" s="30"/>
      <c r="C339" s="30" t="s">
        <v>655</v>
      </c>
      <c r="D339" s="30"/>
      <c r="E339" s="30"/>
      <c r="F339" s="32">
        <f>Source!AL113</f>
        <v>160.79</v>
      </c>
      <c r="G339" s="30">
        <f>Source!DD113</f>
      </c>
      <c r="H339" s="30">
        <f>Source!AW113</f>
        <v>1</v>
      </c>
      <c r="I339" s="32">
        <f>ROUND((Source!CQ113/IF(Source!BC113&lt;&gt;0,Source!BC113,1)*Source!I113),2)</f>
        <v>160.79</v>
      </c>
      <c r="J339" s="30">
        <f>Source!BC113</f>
        <v>4.26</v>
      </c>
      <c r="K339" s="32"/>
    </row>
    <row r="340" spans="9:24" ht="12.75">
      <c r="I340" s="33">
        <f>ROUND((Source!CT113/IF(Source!BA113&lt;&gt;0,Source!BA113,1)*Source!I113),2)+ROUND((Source!CR113/IF(Source!BB113&lt;&gt;0,Source!BB113,1)*Source!I113),2)+ROUND((Source!CQ113/IF(Source!BC113&lt;&gt;0,Source!BC113,1)*Source!I113),2)</f>
        <v>160.79</v>
      </c>
      <c r="J340" s="34"/>
      <c r="K340" s="33"/>
      <c r="L340">
        <f>ROUND((Source!CT113/IF(Source!BA113&lt;&gt;0,Source!BA113,1)*Source!I113),2)</f>
        <v>0</v>
      </c>
      <c r="M340" s="12">
        <f>I340</f>
        <v>160.79</v>
      </c>
      <c r="N340" s="12">
        <f>K340</f>
        <v>0</v>
      </c>
      <c r="O340">
        <f>ROUND(IF(Source!BI113=1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P340">
        <f>ROUND(IF(Source!BI113=2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160.79</v>
      </c>
      <c r="Q340">
        <f>ROUND(IF(Source!BI113=3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R340">
        <f>ROUND(IF(Source!BI113=4,(ROUND((Source!CT113/IF(Source!BA113&lt;&gt;0,Source!BA113,1)*Source!I113),2)+ROUND((Source!CR113/IF(Source!BB113&lt;&gt;0,Source!BB113,1)*Source!I113),2)+ROUND((Source!CQ113/IF(Source!BC113&lt;&gt;0,Source!BC113,1)*Source!I113),2)+((Source!DN113/100)*ROUND((Source!CT113/IF(Source!BA113&lt;&gt;0,Source!BA113,1)*Source!I113),2))+((Source!DO113/100)*ROUND((Source!CT113/IF(Source!BA113&lt;&gt;0,Source!BA113,1)*Source!I113),2))+(ROUND((Source!CS113/IF(Source!BS113&lt;&gt;0,Source!BS113,1)*Source!I113),2)*1.75)),0),2)</f>
        <v>0</v>
      </c>
      <c r="U340">
        <f>IF(Source!BI113=1,Source!O113+Source!X113+Source!Y113+Source!R113*167/100,0)</f>
        <v>0</v>
      </c>
      <c r="V340">
        <f>IF(Source!BI113=2,Source!O113+Source!X113+Source!Y113+Source!R113*167/100,0)</f>
        <v>684.97</v>
      </c>
      <c r="W340">
        <f>IF(Source!BI113=3,Source!O113+Source!X113+Source!Y113+Source!R113*167/100,0)</f>
        <v>0</v>
      </c>
      <c r="X340">
        <f>IF(Source!BI113=4,Source!O113+Source!X113+Source!Y113+Source!R113*167/100,0)</f>
        <v>0</v>
      </c>
    </row>
    <row r="342" spans="3:12" s="34" customFormat="1" ht="12.75">
      <c r="C342" s="34" t="s">
        <v>654</v>
      </c>
      <c r="H342" s="42">
        <f>SUM(M293:M341)</f>
        <v>22781.019999999997</v>
      </c>
      <c r="I342" s="42"/>
      <c r="J342" s="42">
        <f>SUM(N293:N341)</f>
        <v>0</v>
      </c>
      <c r="K342" s="42"/>
      <c r="L342" s="33">
        <f>SUM(L293:L341)</f>
        <v>0</v>
      </c>
    </row>
    <row r="344" spans="3:27" ht="15.75">
      <c r="C344" s="24" t="s">
        <v>642</v>
      </c>
      <c r="D344" s="40" t="str">
        <f>IF(Source!C12="1",Source!F131,Source!G131)</f>
        <v>Оборудование</v>
      </c>
      <c r="E344" s="41"/>
      <c r="F344" s="41"/>
      <c r="G344" s="41"/>
      <c r="H344" s="41"/>
      <c r="I344" s="41"/>
      <c r="J344" s="41"/>
      <c r="K344" s="41"/>
      <c r="AA344" s="35" t="str">
        <f>IF(Source!C12="1",Source!F131,Source!G131)</f>
        <v>Оборудование</v>
      </c>
    </row>
    <row r="346" spans="1:25" ht="108">
      <c r="A346" s="26" t="str">
        <f>Source!E135</f>
        <v>45</v>
      </c>
      <c r="B346" s="26" t="str">
        <f>Source!F135</f>
        <v>ЦЕНА ПОСТ</v>
      </c>
      <c r="C346" s="9" t="str">
        <f>Source!G135</f>
        <v>ТЕЛЕКАМЕРА ПОВОРОТНАЯ НА 360  ГРАДУСОВ (10ХZOOM, 230 В, PAL, ПЛАТА ТРЕВОГ, КРОНШТЕЙН UPTWBA+PTCC, БАК ОМЫВАТЕЛЯ НА 5 Л С КРЕПЛЕНИЕМ НА СТОЙКУ, НАСОС С НАПОРОМ НА 5 М)  ULISSE COMPACT (ЦЕНА: 209151,52/ 1,18/2,75 * 1,03*1,012 = 67183,72 РУБ.)</v>
      </c>
      <c r="D346" s="27" t="str">
        <f>Source!H135</f>
        <v>КОМПЛ</v>
      </c>
      <c r="E346" s="8">
        <f>ROUND(Source!I135,6)</f>
        <v>1</v>
      </c>
      <c r="F346" s="8"/>
      <c r="G346" s="8"/>
      <c r="H346" s="8"/>
      <c r="I346" s="8"/>
      <c r="J346" s="8"/>
      <c r="K346" s="8"/>
      <c r="Y346">
        <v>45</v>
      </c>
    </row>
    <row r="347" spans="1:11" ht="12.75">
      <c r="A347" s="30"/>
      <c r="B347" s="30"/>
      <c r="C347" s="30" t="s">
        <v>655</v>
      </c>
      <c r="D347" s="30"/>
      <c r="E347" s="30"/>
      <c r="F347" s="32">
        <f>Source!AL135</f>
        <v>67183.72</v>
      </c>
      <c r="G347" s="30">
        <f>Source!DD135</f>
      </c>
      <c r="H347" s="30">
        <f>Source!AW135</f>
        <v>1</v>
      </c>
      <c r="I347" s="32">
        <f>ROUND((Source!CQ135/IF(Source!BC135&lt;&gt;0,Source!BC135,1)*Source!I135),2)</f>
        <v>67183.72</v>
      </c>
      <c r="J347" s="30">
        <f>Source!BC135</f>
        <v>2.75</v>
      </c>
      <c r="K347" s="32"/>
    </row>
    <row r="348" spans="9:24" ht="12.75">
      <c r="I348" s="33">
        <f>ROUND((Source!CT135/IF(Source!BA135&lt;&gt;0,Source!BA135,1)*Source!I135),2)+ROUND((Source!CR135/IF(Source!BB135&lt;&gt;0,Source!BB135,1)*Source!I135),2)+ROUND((Source!CQ135/IF(Source!BC135&lt;&gt;0,Source!BC135,1)*Source!I135),2)</f>
        <v>67183.72</v>
      </c>
      <c r="J348" s="34"/>
      <c r="K348" s="33"/>
      <c r="L348">
        <f>ROUND((Source!CT135/IF(Source!BA135&lt;&gt;0,Source!BA135,1)*Source!I135),2)</f>
        <v>0</v>
      </c>
      <c r="M348" s="12">
        <f>I348</f>
        <v>67183.72</v>
      </c>
      <c r="N348" s="12">
        <f>K348</f>
        <v>0</v>
      </c>
      <c r="O348">
        <f>ROUND(IF(Source!BI135=1,(ROUND((Source!CT135/IF(Source!BA135&lt;&gt;0,Source!BA135,1)*Source!I135),2)+ROUND((Source!CR135/IF(Source!BB135&lt;&gt;0,Source!BB135,1)*Source!I135),2)+ROUND((Source!CQ135/IF(Source!BC135&lt;&gt;0,Source!BC135,1)*Source!I135),2)+((Source!DN135/100)*ROUND((Source!CT135/IF(Source!BA135&lt;&gt;0,Source!BA135,1)*Source!I135),2))+((Source!DO135/100)*ROUND((Source!CT135/IF(Source!BA135&lt;&gt;0,Source!BA135,1)*Source!I135),2))+(ROUND((Source!CS135/IF(Source!BS135&lt;&gt;0,Source!BS135,1)*Source!I135),2)*1.75)),0),2)</f>
        <v>0</v>
      </c>
      <c r="P348">
        <f>ROUND(IF(Source!BI135=2,(ROUND((Source!CT135/IF(Source!BA135&lt;&gt;0,Source!BA135,1)*Source!I135),2)+ROUND((Source!CR135/IF(Source!BB135&lt;&gt;0,Source!BB135,1)*Source!I135),2)+ROUND((Source!CQ135/IF(Source!BC135&lt;&gt;0,Source!BC135,1)*Source!I135),2)+((Source!DN135/100)*ROUND((Source!CT135/IF(Source!BA135&lt;&gt;0,Source!BA135,1)*Source!I135),2))+((Source!DO135/100)*ROUND((Source!CT135/IF(Source!BA135&lt;&gt;0,Source!BA135,1)*Source!I135),2))+(ROUND((Source!CS135/IF(Source!BS135&lt;&gt;0,Source!BS135,1)*Source!I135),2)*1.75)),0),2)</f>
        <v>0</v>
      </c>
      <c r="Q348">
        <f>ROUND(IF(Source!BI135=3,(ROUND((Source!CT135/IF(Source!BA135&lt;&gt;0,Source!BA135,1)*Source!I135),2)+ROUND((Source!CR135/IF(Source!BB135&lt;&gt;0,Source!BB135,1)*Source!I135),2)+ROUND((Source!CQ135/IF(Source!BC135&lt;&gt;0,Source!BC135,1)*Source!I135),2)+((Source!DN135/100)*ROUND((Source!CT135/IF(Source!BA135&lt;&gt;0,Source!BA135,1)*Source!I135),2))+((Source!DO135/100)*ROUND((Source!CT135/IF(Source!BA135&lt;&gt;0,Source!BA135,1)*Source!I135),2))+(ROUND((Source!CS135/IF(Source!BS135&lt;&gt;0,Source!BS135,1)*Source!I135),2)*1.75)),0),2)</f>
        <v>67183.72</v>
      </c>
      <c r="R348">
        <f>ROUND(IF(Source!BI135=4,(ROUND((Source!CT135/IF(Source!BA135&lt;&gt;0,Source!BA135,1)*Source!I135),2)+ROUND((Source!CR135/IF(Source!BB135&lt;&gt;0,Source!BB135,1)*Source!I135),2)+ROUND((Source!CQ135/IF(Source!BC135&lt;&gt;0,Source!BC135,1)*Source!I135),2)+((Source!DN135/100)*ROUND((Source!CT135/IF(Source!BA135&lt;&gt;0,Source!BA135,1)*Source!I135),2))+((Source!DO135/100)*ROUND((Source!CT135/IF(Source!BA135&lt;&gt;0,Source!BA135,1)*Source!I135),2))+(ROUND((Source!CS135/IF(Source!BS135&lt;&gt;0,Source!BS135,1)*Source!I135),2)*1.75)),0),2)</f>
        <v>0</v>
      </c>
      <c r="U348">
        <f>IF(Source!BI135=1,Source!O135+Source!X135+Source!Y135+Source!R135*167/100,0)</f>
        <v>0</v>
      </c>
      <c r="V348">
        <f>IF(Source!BI135=2,Source!O135+Source!X135+Source!Y135+Source!R135*167/100,0)</f>
        <v>0</v>
      </c>
      <c r="W348">
        <f>IF(Source!BI135=3,Source!O135+Source!X135+Source!Y135+Source!R135*167/100,0)</f>
        <v>184755.23</v>
      </c>
      <c r="X348">
        <f>IF(Source!BI135=4,Source!O135+Source!X135+Source!Y135+Source!R135*167/100,0)</f>
        <v>0</v>
      </c>
    </row>
    <row r="349" spans="1:25" ht="96">
      <c r="A349" s="26" t="str">
        <f>Source!E136</f>
        <v>46</v>
      </c>
      <c r="B349" s="26" t="str">
        <f>Source!F136</f>
        <v>ЦЕНА ПОСТ</v>
      </c>
      <c r="C349" s="9" t="str">
        <f>Source!G136</f>
        <v>ГЕРМОШКАФ УПРАВЛЕНИЯ ВСЕПОГОДНЫЙ ДЛЯ ПОВОРОТНОЙ УЛИЧНОЙ ВИДЕОКАМЕРЫ С ОМЫВАТЕЛЕМ В КОМПЛЕКТЕ С МОНТАЖНЫМИ КРЕПЛЕНИЯМИ (ЦЕНА: 189694,00 / 1,18/2,75 * 1,03*1,012 = 60933,57 РУБ.)</v>
      </c>
      <c r="D349" s="27" t="str">
        <f>Source!H136</f>
        <v>КОМПЛ</v>
      </c>
      <c r="E349" s="8">
        <f>ROUND(Source!I136,6)</f>
        <v>1</v>
      </c>
      <c r="F349" s="8"/>
      <c r="G349" s="8"/>
      <c r="H349" s="8"/>
      <c r="I349" s="8"/>
      <c r="J349" s="8"/>
      <c r="K349" s="8"/>
      <c r="Y349">
        <v>46</v>
      </c>
    </row>
    <row r="350" spans="1:11" ht="12.75">
      <c r="A350" s="30"/>
      <c r="B350" s="30"/>
      <c r="C350" s="30" t="s">
        <v>655</v>
      </c>
      <c r="D350" s="30"/>
      <c r="E350" s="30"/>
      <c r="F350" s="32">
        <f>Source!AL136</f>
        <v>60933.57</v>
      </c>
      <c r="G350" s="30">
        <f>Source!DD136</f>
      </c>
      <c r="H350" s="30">
        <f>Source!AW136</f>
        <v>1</v>
      </c>
      <c r="I350" s="32">
        <f>ROUND((Source!CQ136/IF(Source!BC136&lt;&gt;0,Source!BC136,1)*Source!I136),2)</f>
        <v>60933.57</v>
      </c>
      <c r="J350" s="30">
        <f>Source!BC136</f>
        <v>2.75</v>
      </c>
      <c r="K350" s="32"/>
    </row>
    <row r="351" spans="9:24" ht="12.75">
      <c r="I351" s="33">
        <f>ROUND((Source!CT136/IF(Source!BA136&lt;&gt;0,Source!BA136,1)*Source!I136),2)+ROUND((Source!CR136/IF(Source!BB136&lt;&gt;0,Source!BB136,1)*Source!I136),2)+ROUND((Source!CQ136/IF(Source!BC136&lt;&gt;0,Source!BC136,1)*Source!I136),2)</f>
        <v>60933.57</v>
      </c>
      <c r="J351" s="34"/>
      <c r="K351" s="33"/>
      <c r="L351">
        <f>ROUND((Source!CT136/IF(Source!BA136&lt;&gt;0,Source!BA136,1)*Source!I136),2)</f>
        <v>0</v>
      </c>
      <c r="M351" s="12">
        <f>I351</f>
        <v>60933.57</v>
      </c>
      <c r="N351" s="12">
        <f>K351</f>
        <v>0</v>
      </c>
      <c r="O351">
        <f>ROUND(IF(Source!BI136=1,(ROUND((Source!CT136/IF(Source!BA136&lt;&gt;0,Source!BA136,1)*Source!I136),2)+ROUND((Source!CR136/IF(Source!BB136&lt;&gt;0,Source!BB136,1)*Source!I136),2)+ROUND((Source!CQ136/IF(Source!BC136&lt;&gt;0,Source!BC136,1)*Source!I136),2)+((Source!DN136/100)*ROUND((Source!CT136/IF(Source!BA136&lt;&gt;0,Source!BA136,1)*Source!I136),2))+((Source!DO136/100)*ROUND((Source!CT136/IF(Source!BA136&lt;&gt;0,Source!BA136,1)*Source!I136),2))+(ROUND((Source!CS136/IF(Source!BS136&lt;&gt;0,Source!BS136,1)*Source!I136),2)*1.75)),0),2)</f>
        <v>0</v>
      </c>
      <c r="P351">
        <f>ROUND(IF(Source!BI136=2,(ROUND((Source!CT136/IF(Source!BA136&lt;&gt;0,Source!BA136,1)*Source!I136),2)+ROUND((Source!CR136/IF(Source!BB136&lt;&gt;0,Source!BB136,1)*Source!I136),2)+ROUND((Source!CQ136/IF(Source!BC136&lt;&gt;0,Source!BC136,1)*Source!I136),2)+((Source!DN136/100)*ROUND((Source!CT136/IF(Source!BA136&lt;&gt;0,Source!BA136,1)*Source!I136),2))+((Source!DO136/100)*ROUND((Source!CT136/IF(Source!BA136&lt;&gt;0,Source!BA136,1)*Source!I136),2))+(ROUND((Source!CS136/IF(Source!BS136&lt;&gt;0,Source!BS136,1)*Source!I136),2)*1.75)),0),2)</f>
        <v>0</v>
      </c>
      <c r="Q351">
        <f>ROUND(IF(Source!BI136=3,(ROUND((Source!CT136/IF(Source!BA136&lt;&gt;0,Source!BA136,1)*Source!I136),2)+ROUND((Source!CR136/IF(Source!BB136&lt;&gt;0,Source!BB136,1)*Source!I136),2)+ROUND((Source!CQ136/IF(Source!BC136&lt;&gt;0,Source!BC136,1)*Source!I136),2)+((Source!DN136/100)*ROUND((Source!CT136/IF(Source!BA136&lt;&gt;0,Source!BA136,1)*Source!I136),2))+((Source!DO136/100)*ROUND((Source!CT136/IF(Source!BA136&lt;&gt;0,Source!BA136,1)*Source!I136),2))+(ROUND((Source!CS136/IF(Source!BS136&lt;&gt;0,Source!BS136,1)*Source!I136),2)*1.75)),0),2)</f>
        <v>60933.57</v>
      </c>
      <c r="R351">
        <f>ROUND(IF(Source!BI136=4,(ROUND((Source!CT136/IF(Source!BA136&lt;&gt;0,Source!BA136,1)*Source!I136),2)+ROUND((Source!CR136/IF(Source!BB136&lt;&gt;0,Source!BB136,1)*Source!I136),2)+ROUND((Source!CQ136/IF(Source!BC136&lt;&gt;0,Source!BC136,1)*Source!I136),2)+((Source!DN136/100)*ROUND((Source!CT136/IF(Source!BA136&lt;&gt;0,Source!BA136,1)*Source!I136),2))+((Source!DO136/100)*ROUND((Source!CT136/IF(Source!BA136&lt;&gt;0,Source!BA136,1)*Source!I136),2))+(ROUND((Source!CS136/IF(Source!BS136&lt;&gt;0,Source!BS136,1)*Source!I136),2)*1.75)),0),2)</f>
        <v>0</v>
      </c>
      <c r="U351">
        <f>IF(Source!BI136=1,Source!O136+Source!X136+Source!Y136+Source!R136*167/100,0)</f>
        <v>0</v>
      </c>
      <c r="V351">
        <f>IF(Source!BI136=2,Source!O136+Source!X136+Source!Y136+Source!R136*167/100,0)</f>
        <v>0</v>
      </c>
      <c r="W351">
        <f>IF(Source!BI136=3,Source!O136+Source!X136+Source!Y136+Source!R136*167/100,0)</f>
        <v>167567.32</v>
      </c>
      <c r="X351">
        <f>IF(Source!BI136=4,Source!O136+Source!X136+Source!Y136+Source!R136*167/100,0)</f>
        <v>0</v>
      </c>
    </row>
    <row r="352" spans="1:25" ht="48">
      <c r="A352" s="26" t="str">
        <f>Source!E137</f>
        <v>47</v>
      </c>
      <c r="B352" s="26" t="str">
        <f>Source!F137</f>
        <v>ЦЕНА ПОСТ</v>
      </c>
      <c r="C352" s="9" t="str">
        <f>Source!G137</f>
        <v>КРОСС ОПТИЧЕСКИЙ НА 4 ПОРТА НА 1 ТВ КАМЕРУ KOH-FC/SM-4-4 (ЦЕНА: 456,00 / 1,18/2,75 * 1,03*1,012 = 146,48 РУБ.)</v>
      </c>
      <c r="D352" s="27" t="str">
        <f>Source!H137</f>
        <v>КОМПЛ</v>
      </c>
      <c r="E352" s="8">
        <f>ROUND(Source!I137,6)</f>
        <v>1</v>
      </c>
      <c r="F352" s="8"/>
      <c r="G352" s="8"/>
      <c r="H352" s="8"/>
      <c r="I352" s="8"/>
      <c r="J352" s="8"/>
      <c r="K352" s="8"/>
      <c r="Y352">
        <v>47</v>
      </c>
    </row>
    <row r="353" spans="1:11" ht="12.75">
      <c r="A353" s="30"/>
      <c r="B353" s="30"/>
      <c r="C353" s="30" t="s">
        <v>655</v>
      </c>
      <c r="D353" s="30"/>
      <c r="E353" s="30"/>
      <c r="F353" s="32">
        <f>Source!AL137</f>
        <v>146.48</v>
      </c>
      <c r="G353" s="30">
        <f>Source!DD137</f>
      </c>
      <c r="H353" s="30">
        <f>Source!AW137</f>
        <v>1</v>
      </c>
      <c r="I353" s="32">
        <f>ROUND((Source!CQ137/IF(Source!BC137&lt;&gt;0,Source!BC137,1)*Source!I137),2)</f>
        <v>146.48</v>
      </c>
      <c r="J353" s="30">
        <f>Source!BC137</f>
        <v>2.75</v>
      </c>
      <c r="K353" s="32"/>
    </row>
    <row r="354" spans="9:24" ht="12.75">
      <c r="I354" s="33">
        <f>ROUND((Source!CT137/IF(Source!BA137&lt;&gt;0,Source!BA137,1)*Source!I137),2)+ROUND((Source!CR137/IF(Source!BB137&lt;&gt;0,Source!BB137,1)*Source!I137),2)+ROUND((Source!CQ137/IF(Source!BC137&lt;&gt;0,Source!BC137,1)*Source!I137),2)</f>
        <v>146.48</v>
      </c>
      <c r="J354" s="34"/>
      <c r="K354" s="33"/>
      <c r="L354">
        <f>ROUND((Source!CT137/IF(Source!BA137&lt;&gt;0,Source!BA137,1)*Source!I137),2)</f>
        <v>0</v>
      </c>
      <c r="M354" s="12">
        <f>I354</f>
        <v>146.48</v>
      </c>
      <c r="N354" s="12">
        <f>K354</f>
        <v>0</v>
      </c>
      <c r="O354">
        <f>ROUND(IF(Source!BI137=1,(ROUND((Source!CT137/IF(Source!BA137&lt;&gt;0,Source!BA137,1)*Source!I137),2)+ROUND((Source!CR137/IF(Source!BB137&lt;&gt;0,Source!BB137,1)*Source!I137),2)+ROUND((Source!CQ137/IF(Source!BC137&lt;&gt;0,Source!BC137,1)*Source!I137),2)+((Source!DN137/100)*ROUND((Source!CT137/IF(Source!BA137&lt;&gt;0,Source!BA137,1)*Source!I137),2))+((Source!DO137/100)*ROUND((Source!CT137/IF(Source!BA137&lt;&gt;0,Source!BA137,1)*Source!I137),2))+(ROUND((Source!CS137/IF(Source!BS137&lt;&gt;0,Source!BS137,1)*Source!I137),2)*1.75)),0),2)</f>
        <v>0</v>
      </c>
      <c r="P354">
        <f>ROUND(IF(Source!BI137=2,(ROUND((Source!CT137/IF(Source!BA137&lt;&gt;0,Source!BA137,1)*Source!I137),2)+ROUND((Source!CR137/IF(Source!BB137&lt;&gt;0,Source!BB137,1)*Source!I137),2)+ROUND((Source!CQ137/IF(Source!BC137&lt;&gt;0,Source!BC137,1)*Source!I137),2)+((Source!DN137/100)*ROUND((Source!CT137/IF(Source!BA137&lt;&gt;0,Source!BA137,1)*Source!I137),2))+((Source!DO137/100)*ROUND((Source!CT137/IF(Source!BA137&lt;&gt;0,Source!BA137,1)*Source!I137),2))+(ROUND((Source!CS137/IF(Source!BS137&lt;&gt;0,Source!BS137,1)*Source!I137),2)*1.75)),0),2)</f>
        <v>0</v>
      </c>
      <c r="Q354">
        <f>ROUND(IF(Source!BI137=3,(ROUND((Source!CT137/IF(Source!BA137&lt;&gt;0,Source!BA137,1)*Source!I137),2)+ROUND((Source!CR137/IF(Source!BB137&lt;&gt;0,Source!BB137,1)*Source!I137),2)+ROUND((Source!CQ137/IF(Source!BC137&lt;&gt;0,Source!BC137,1)*Source!I137),2)+((Source!DN137/100)*ROUND((Source!CT137/IF(Source!BA137&lt;&gt;0,Source!BA137,1)*Source!I137),2))+((Source!DO137/100)*ROUND((Source!CT137/IF(Source!BA137&lt;&gt;0,Source!BA137,1)*Source!I137),2))+(ROUND((Source!CS137/IF(Source!BS137&lt;&gt;0,Source!BS137,1)*Source!I137),2)*1.75)),0),2)</f>
        <v>146.48</v>
      </c>
      <c r="R354">
        <f>ROUND(IF(Source!BI137=4,(ROUND((Source!CT137/IF(Source!BA137&lt;&gt;0,Source!BA137,1)*Source!I137),2)+ROUND((Source!CR137/IF(Source!BB137&lt;&gt;0,Source!BB137,1)*Source!I137),2)+ROUND((Source!CQ137/IF(Source!BC137&lt;&gt;0,Source!BC137,1)*Source!I137),2)+((Source!DN137/100)*ROUND((Source!CT137/IF(Source!BA137&lt;&gt;0,Source!BA137,1)*Source!I137),2))+((Source!DO137/100)*ROUND((Source!CT137/IF(Source!BA137&lt;&gt;0,Source!BA137,1)*Source!I137),2))+(ROUND((Source!CS137/IF(Source!BS137&lt;&gt;0,Source!BS137,1)*Source!I137),2)*1.75)),0),2)</f>
        <v>0</v>
      </c>
      <c r="U354">
        <f>IF(Source!BI137=1,Source!O137+Source!X137+Source!Y137+Source!R137*167/100,0)</f>
        <v>0</v>
      </c>
      <c r="V354">
        <f>IF(Source!BI137=2,Source!O137+Source!X137+Source!Y137+Source!R137*167/100,0)</f>
        <v>0</v>
      </c>
      <c r="W354">
        <f>IF(Source!BI137=3,Source!O137+Source!X137+Source!Y137+Source!R137*167/100,0)</f>
        <v>402.82</v>
      </c>
      <c r="X354">
        <f>IF(Source!BI137=4,Source!O137+Source!X137+Source!Y137+Source!R137*167/100,0)</f>
        <v>0</v>
      </c>
    </row>
    <row r="356" spans="3:12" s="34" customFormat="1" ht="12.75">
      <c r="C356" s="34" t="s">
        <v>654</v>
      </c>
      <c r="H356" s="42">
        <f>SUM(M346:M355)</f>
        <v>128263.77</v>
      </c>
      <c r="I356" s="42"/>
      <c r="J356" s="42">
        <f>SUM(N346:N355)</f>
        <v>0</v>
      </c>
      <c r="K356" s="42"/>
      <c r="L356" s="33">
        <f>SUM(L346:L355)</f>
        <v>0</v>
      </c>
    </row>
    <row r="358" spans="3:27" ht="15.75">
      <c r="C358" s="24" t="s">
        <v>642</v>
      </c>
      <c r="D358" s="40" t="str">
        <f>IF(Source!C12="1",Source!F155,Source!G155)</f>
        <v>Строительные работы</v>
      </c>
      <c r="E358" s="41"/>
      <c r="F358" s="41"/>
      <c r="G358" s="41"/>
      <c r="H358" s="41"/>
      <c r="I358" s="41"/>
      <c r="J358" s="41"/>
      <c r="K358" s="41"/>
      <c r="AA358" s="35" t="str">
        <f>IF(Source!C12="1",Source!F155,Source!G155)</f>
        <v>Строительные работы</v>
      </c>
    </row>
    <row r="360" spans="1:25" ht="72">
      <c r="A360" s="26" t="str">
        <f>Source!E159</f>
        <v>48</v>
      </c>
      <c r="B360" s="26" t="s">
        <v>658</v>
      </c>
      <c r="C360" s="9" t="str">
        <f>Source!G159</f>
        <v>НАРЕЗКА ШВОВ В ДОРОЖНЫХ, АСФАЛЬТОБЕТОННЫХ И БЕТОННЫХ ПОКРЫТИЯХ С ПРИМЕНЕНИЕМ ДИСКОВ С АЛМАЗНЫМ ПОКРЫТИЕМ НА ГЛУБИНУ 200 ММ</v>
      </c>
      <c r="D360" s="27" t="str">
        <f>Source!H159</f>
        <v>100 м</v>
      </c>
      <c r="E360" s="8">
        <f>ROUND(Source!I159,6)</f>
        <v>0.048</v>
      </c>
      <c r="F360" s="8"/>
      <c r="G360" s="8"/>
      <c r="H360" s="8"/>
      <c r="I360" s="8"/>
      <c r="J360" s="8"/>
      <c r="K360" s="8"/>
      <c r="Y360">
        <v>48</v>
      </c>
    </row>
    <row r="361" spans="1:11" ht="12.75">
      <c r="A361" s="8"/>
      <c r="B361" s="8"/>
      <c r="C361" s="8" t="s">
        <v>644</v>
      </c>
      <c r="D361" s="8"/>
      <c r="E361" s="8"/>
      <c r="F361" s="11">
        <f>Source!AO159</f>
        <v>316.71</v>
      </c>
      <c r="G361" s="28" t="str">
        <f>Source!DG159</f>
        <v>)*1,15</v>
      </c>
      <c r="H361" s="8">
        <f>Source!AV159</f>
        <v>1.047</v>
      </c>
      <c r="I361" s="11">
        <f>ROUND((Source!CT159/IF(Source!BA159&lt;&gt;0,Source!BA159,1)*Source!I159),2)</f>
        <v>18.3</v>
      </c>
      <c r="J361" s="8">
        <f>Source!BA159</f>
        <v>13.09</v>
      </c>
      <c r="K361" s="11"/>
    </row>
    <row r="362" spans="1:11" ht="12.75">
      <c r="A362" s="8"/>
      <c r="B362" s="8"/>
      <c r="C362" s="8" t="s">
        <v>645</v>
      </c>
      <c r="D362" s="8"/>
      <c r="E362" s="8"/>
      <c r="F362" s="11">
        <f>Source!AM159</f>
        <v>2079.01</v>
      </c>
      <c r="G362" s="28" t="str">
        <f>Source!DE159</f>
        <v>)*1,15</v>
      </c>
      <c r="H362" s="8">
        <f>Source!AV159</f>
        <v>1.047</v>
      </c>
      <c r="I362" s="11">
        <f>ROUND((Source!CR159/IF(Source!BB159&lt;&gt;0,Source!BB159,1)*Source!I159),2)</f>
        <v>120.16</v>
      </c>
      <c r="J362" s="8">
        <f>Source!BB159</f>
        <v>5.5</v>
      </c>
      <c r="K362" s="11"/>
    </row>
    <row r="363" spans="1:12" ht="12.75">
      <c r="A363" s="8"/>
      <c r="B363" s="8"/>
      <c r="C363" s="8" t="s">
        <v>646</v>
      </c>
      <c r="D363" s="8"/>
      <c r="E363" s="8"/>
      <c r="F363" s="11">
        <f>Source!AN159</f>
        <v>331.02</v>
      </c>
      <c r="G363" s="28" t="str">
        <f>Source!DF159</f>
        <v>)*1,15</v>
      </c>
      <c r="H363" s="8">
        <f>Source!AV159</f>
        <v>1.047</v>
      </c>
      <c r="I363" s="29" t="str">
        <f>CONCATENATE("(",TEXT(+ROUND((Source!CS159/IF(J363&lt;&gt;0,J363,1)*Source!I159),2),"0,00"),")")</f>
        <v>(19,13)</v>
      </c>
      <c r="J363" s="8">
        <f>Source!BS159</f>
        <v>13.09</v>
      </c>
      <c r="K363" s="29"/>
      <c r="L363">
        <f>ROUND(IF(J363&lt;&gt;0,Source!R159/J363,Source!R159),2)</f>
        <v>19.13</v>
      </c>
    </row>
    <row r="364" spans="1:25" ht="36">
      <c r="A364" s="26" t="str">
        <f>Source!E160</f>
        <v>48,1</v>
      </c>
      <c r="B364" s="26" t="str">
        <f>Source!F160</f>
        <v>1.7-3-66</v>
      </c>
      <c r="C364" s="9" t="str">
        <f>Source!G160</f>
        <v>ДИСК ОТРЕЗНОЙ С АЛМАЗНЫМ ПОКРЫТИЕМ 'HILTI' DC-D C1, ДИАМЕТР 180 ММ</v>
      </c>
      <c r="D364" s="27" t="str">
        <f>Source!H160</f>
        <v>шт.</v>
      </c>
      <c r="E364" s="8">
        <f>ROUND(Source!I160,6)</f>
        <v>0.044328</v>
      </c>
      <c r="F364" s="11">
        <f>IF(Source!AL160=0,Source!AK160,Source!AL160)</f>
        <v>2280.28</v>
      </c>
      <c r="G364" s="28">
        <f>Source!DD160</f>
      </c>
      <c r="H364" s="8">
        <f>Source!AW160</f>
        <v>1.03</v>
      </c>
      <c r="I364" s="11">
        <f>ROUND((Source!CR160/IF(Source!BB160&lt;&gt;0,Source!BB160,1)*Source!I160),2)+ROUND((Source!CQ160/IF(Source!BC160&lt;&gt;0,Source!BC160,1)*Source!I160),2)+ROUND((Source!CT160/IF(Source!BA160&lt;&gt;0,Source!BA160,1)*Source!I160),2)</f>
        <v>104.11</v>
      </c>
      <c r="J364" s="8">
        <f>Source!BC160</f>
        <v>2.16</v>
      </c>
      <c r="K364" s="11"/>
      <c r="O364">
        <f>IF(Source!BI160=1,(ROUND((Source!CR160/IF(Source!BB160&lt;&gt;0,Source!BB160,1)*Source!I160),2)+ROUND((Source!CQ160/IF(Source!BC160&lt;&gt;0,Source!BC160,1)*Source!I160),2)+ROUND((Source!CT160/IF(Source!BA160&lt;&gt;0,Source!BA160,1)*Source!I160),2)),0)</f>
        <v>104.11</v>
      </c>
      <c r="P364">
        <f>IF(Source!BI160=2,(ROUND((Source!CR160/IF(Source!BB160&lt;&gt;0,Source!BB160,1)*Source!I160),2)+ROUND((Source!CQ160/IF(Source!BC160&lt;&gt;0,Source!BC160,1)*Source!I160),2)+ROUND((Source!CT160/IF(Source!BA160&lt;&gt;0,Source!BA160,1)*Source!I160),2)),0)</f>
        <v>0</v>
      </c>
      <c r="Q364">
        <f>IF(Source!BI160=3,(ROUND((Source!CR160/IF(Source!BB160&lt;&gt;0,Source!BB160,1)*Source!I160),2)+ROUND((Source!CQ160/IF(Source!BC160&lt;&gt;0,Source!BC160,1)*Source!I160),2)+ROUND((Source!CT160/IF(Source!BA160&lt;&gt;0,Source!BA160,1)*Source!I160),2)),0)</f>
        <v>0</v>
      </c>
      <c r="R364">
        <f>IF(Source!BI160=4,(ROUND((Source!CR160/IF(Source!BB160&lt;&gt;0,Source!BB160,1)*Source!I160),2)+ROUND((Source!CQ160/IF(Source!BC160&lt;&gt;0,Source!BC160,1)*Source!I160),2)+ROUND((Source!CT160/IF(Source!BA160&lt;&gt;0,Source!BA160,1)*Source!I160),2)),0)</f>
        <v>0</v>
      </c>
      <c r="U364">
        <f>IF(Source!BI160=1,Source!O160+Source!X160+Source!Y160,0)</f>
        <v>224.88</v>
      </c>
      <c r="V364">
        <f>IF(Source!BI160=2,Source!O160+Source!X160+Source!Y160,0)</f>
        <v>0</v>
      </c>
      <c r="W364">
        <f>IF(Source!BI160=3,Source!O160+Source!X160+Source!Y160,0)</f>
        <v>0</v>
      </c>
      <c r="X364">
        <f>IF(Source!BI160=4,Source!O160+Source!X160+Source!Y160,0)</f>
        <v>0</v>
      </c>
      <c r="Y364">
        <v>49</v>
      </c>
    </row>
    <row r="365" spans="1:11" ht="12.75">
      <c r="A365" s="8"/>
      <c r="B365" s="8"/>
      <c r="C365" s="8" t="s">
        <v>647</v>
      </c>
      <c r="D365" s="8" t="s">
        <v>648</v>
      </c>
      <c r="E365" s="8">
        <f>Source!DN159</f>
        <v>161</v>
      </c>
      <c r="F365" s="8"/>
      <c r="G365" s="8"/>
      <c r="H365" s="8"/>
      <c r="I365" s="11">
        <f>ROUND((E365/100)*ROUND((Source!CT159/IF(Source!BA159&lt;&gt;0,Source!BA159,1)*Source!I159),2),2)</f>
        <v>29.46</v>
      </c>
      <c r="J365" s="8">
        <f>Source!AT159</f>
        <v>140</v>
      </c>
      <c r="K365" s="11"/>
    </row>
    <row r="366" spans="1:11" ht="12.75">
      <c r="A366" s="8"/>
      <c r="B366" s="8"/>
      <c r="C366" s="8" t="s">
        <v>649</v>
      </c>
      <c r="D366" s="8" t="s">
        <v>648</v>
      </c>
      <c r="E366" s="8">
        <f>Source!DO159</f>
        <v>107</v>
      </c>
      <c r="F366" s="8"/>
      <c r="G366" s="8"/>
      <c r="H366" s="8"/>
      <c r="I366" s="11">
        <f>ROUND((E366/100)*ROUND((Source!CT159/IF(Source!BA159&lt;&gt;0,Source!BA159,1)*Source!I159),2),2)</f>
        <v>19.58</v>
      </c>
      <c r="J366" s="8">
        <f>Source!AU159</f>
        <v>57</v>
      </c>
      <c r="K366" s="11"/>
    </row>
    <row r="367" spans="1:11" ht="12.75">
      <c r="A367" s="8"/>
      <c r="B367" s="8"/>
      <c r="C367" s="8" t="s">
        <v>650</v>
      </c>
      <c r="D367" s="8" t="s">
        <v>648</v>
      </c>
      <c r="E367" s="8">
        <v>175</v>
      </c>
      <c r="F367" s="8"/>
      <c r="G367" s="8"/>
      <c r="H367" s="8"/>
      <c r="I367" s="11">
        <f>ROUND(ROUND((Source!CS159/IF(Source!BS159&lt;&gt;0,Source!BS159,1)*Source!I159),2)*1.75,2)</f>
        <v>33.48</v>
      </c>
      <c r="J367" s="8">
        <v>167</v>
      </c>
      <c r="K367" s="11"/>
    </row>
    <row r="368" spans="1:11" ht="12.75">
      <c r="A368" s="30"/>
      <c r="B368" s="30"/>
      <c r="C368" s="30" t="s">
        <v>651</v>
      </c>
      <c r="D368" s="30" t="s">
        <v>652</v>
      </c>
      <c r="E368" s="30">
        <f>Source!AQ159</f>
        <v>23</v>
      </c>
      <c r="F368" s="30"/>
      <c r="G368" s="31" t="str">
        <f>Source!DI159</f>
        <v>)*1,15</v>
      </c>
      <c r="H368" s="30">
        <f>Source!AV159</f>
        <v>1.047</v>
      </c>
      <c r="I368" s="32">
        <f>ROUND(Source!U159,2)</f>
        <v>1.33</v>
      </c>
      <c r="J368" s="30"/>
      <c r="K368" s="30"/>
    </row>
    <row r="369" spans="9:24" ht="12.75">
      <c r="I369" s="33">
        <f>ROUND((Source!CT159/IF(Source!BA159&lt;&gt;0,Source!BA159,1)*Source!I159),2)+ROUND((Source!CR159/IF(Source!BB159&lt;&gt;0,Source!BB159,1)*Source!I159),2)+ROUND((Source!CQ159/IF(Source!BC159&lt;&gt;0,Source!BC159,1)*Source!I159),2)+SUM(I364:I367)</f>
        <v>325.09</v>
      </c>
      <c r="J369" s="34"/>
      <c r="K369" s="33"/>
      <c r="L369">
        <f>ROUND((Source!CT159/IF(Source!BA159&lt;&gt;0,Source!BA159,1)*Source!I159),2)</f>
        <v>18.3</v>
      </c>
      <c r="M369" s="12">
        <f>I369</f>
        <v>325.09</v>
      </c>
      <c r="N369" s="12">
        <f>K369</f>
        <v>0</v>
      </c>
      <c r="O369">
        <f>ROUND(IF(Source!BI159=1,(ROUND((Source!CT159/IF(Source!BA159&lt;&gt;0,Source!BA159,1)*Source!I159),2)+ROUND((Source!CR159/IF(Source!BB159&lt;&gt;0,Source!BB159,1)*Source!I159),2)+ROUND((Source!CQ159/IF(Source!BC159&lt;&gt;0,Source!BC159,1)*Source!I159),2)+((Source!DN159/100)*ROUND((Source!CT159/IF(Source!BA159&lt;&gt;0,Source!BA159,1)*Source!I159),2))+((Source!DO159/100)*ROUND((Source!CT159/IF(Source!BA159&lt;&gt;0,Source!BA159,1)*Source!I159),2))+(ROUND((Source!CS159/IF(Source!BS159&lt;&gt;0,Source!BS159,1)*Source!I159),2)*1.75)),0),2)</f>
        <v>220.98</v>
      </c>
      <c r="P369">
        <f>ROUND(IF(Source!BI159=2,(ROUND((Source!CT159/IF(Source!BA159&lt;&gt;0,Source!BA159,1)*Source!I159),2)+ROUND((Source!CR159/IF(Source!BB159&lt;&gt;0,Source!BB159,1)*Source!I159),2)+ROUND((Source!CQ159/IF(Source!BC159&lt;&gt;0,Source!BC159,1)*Source!I159),2)+((Source!DN159/100)*ROUND((Source!CT159/IF(Source!BA159&lt;&gt;0,Source!BA159,1)*Source!I159),2))+((Source!DO159/100)*ROUND((Source!CT159/IF(Source!BA159&lt;&gt;0,Source!BA159,1)*Source!I159),2))+(ROUND((Source!CS159/IF(Source!BS159&lt;&gt;0,Source!BS159,1)*Source!I159),2)*1.75)),0),2)</f>
        <v>0</v>
      </c>
      <c r="Q369">
        <f>ROUND(IF(Source!BI159=3,(ROUND((Source!CT159/IF(Source!BA159&lt;&gt;0,Source!BA159,1)*Source!I159),2)+ROUND((Source!CR159/IF(Source!BB159&lt;&gt;0,Source!BB159,1)*Source!I159),2)+ROUND((Source!CQ159/IF(Source!BC159&lt;&gt;0,Source!BC159,1)*Source!I159),2)+((Source!DN159/100)*ROUND((Source!CT159/IF(Source!BA159&lt;&gt;0,Source!BA159,1)*Source!I159),2))+((Source!DO159/100)*ROUND((Source!CT159/IF(Source!BA159&lt;&gt;0,Source!BA159,1)*Source!I159),2))+(ROUND((Source!CS159/IF(Source!BS159&lt;&gt;0,Source!BS159,1)*Source!I159),2)*1.75)),0),2)</f>
        <v>0</v>
      </c>
      <c r="R369">
        <f>ROUND(IF(Source!BI159=4,(ROUND((Source!CT159/IF(Source!BA159&lt;&gt;0,Source!BA159,1)*Source!I159),2)+ROUND((Source!CR159/IF(Source!BB159&lt;&gt;0,Source!BB159,1)*Source!I159),2)+ROUND((Source!CQ159/IF(Source!BC159&lt;&gt;0,Source!BC159,1)*Source!I159),2)+((Source!DN159/100)*ROUND((Source!CT159/IF(Source!BA159&lt;&gt;0,Source!BA159,1)*Source!I159),2))+((Source!DO159/100)*ROUND((Source!CT159/IF(Source!BA159&lt;&gt;0,Source!BA159,1)*Source!I159),2))+(ROUND((Source!CS159/IF(Source!BS159&lt;&gt;0,Source!BS159,1)*Source!I159),2)*1.75)),0),2)</f>
        <v>0</v>
      </c>
      <c r="U369">
        <f>IF(Source!BI159=1,Source!O159+Source!X159+Source!Y159+Source!R159*167/100,0)</f>
        <v>1790.6781</v>
      </c>
      <c r="V369">
        <f>IF(Source!BI159=2,Source!O159+Source!X159+Source!Y159+Source!R159*167/100,0)</f>
        <v>0</v>
      </c>
      <c r="W369">
        <f>IF(Source!BI159=3,Source!O159+Source!X159+Source!Y159+Source!R159*167/100,0)</f>
        <v>0</v>
      </c>
      <c r="X369">
        <f>IF(Source!BI159=4,Source!O159+Source!X159+Source!Y159+Source!R159*167/100,0)</f>
        <v>0</v>
      </c>
    </row>
    <row r="370" spans="1:25" ht="36">
      <c r="A370" s="26" t="str">
        <f>Source!E161</f>
        <v>49</v>
      </c>
      <c r="B370" s="26" t="str">
        <f>Source!F161</f>
        <v>6.68-51-4</v>
      </c>
      <c r="C370" s="9" t="str">
        <f>Source!G161</f>
        <v>РАЗБОРКА ПОКРЫТИЙ И ОСНОВАНИЙ АСФАЛЬТОБЕТОННЫХ</v>
      </c>
      <c r="D370" s="27" t="str">
        <f>Source!H161</f>
        <v>100 м3</v>
      </c>
      <c r="E370" s="8">
        <f>ROUND(Source!I161,6)</f>
        <v>0.001</v>
      </c>
      <c r="F370" s="8"/>
      <c r="G370" s="8"/>
      <c r="H370" s="8"/>
      <c r="I370" s="8"/>
      <c r="J370" s="8"/>
      <c r="K370" s="8"/>
      <c r="Y370">
        <v>50</v>
      </c>
    </row>
    <row r="371" spans="1:11" ht="12.75">
      <c r="A371" s="8"/>
      <c r="B371" s="8"/>
      <c r="C371" s="8" t="s">
        <v>644</v>
      </c>
      <c r="D371" s="8"/>
      <c r="E371" s="8"/>
      <c r="F371" s="11">
        <f>Source!AO161</f>
        <v>1687.95</v>
      </c>
      <c r="G371" s="28">
        <f>Source!DG161</f>
      </c>
      <c r="H371" s="8">
        <f>Source!AV161</f>
        <v>1.047</v>
      </c>
      <c r="I371" s="11">
        <f>ROUND((Source!CT161/IF(Source!BA161&lt;&gt;0,Source!BA161,1)*Source!I161),2)</f>
        <v>1.77</v>
      </c>
      <c r="J371" s="8">
        <f>Source!BA161</f>
        <v>13.09</v>
      </c>
      <c r="K371" s="11"/>
    </row>
    <row r="372" spans="1:11" ht="12.75">
      <c r="A372" s="8"/>
      <c r="B372" s="8"/>
      <c r="C372" s="8" t="s">
        <v>645</v>
      </c>
      <c r="D372" s="8"/>
      <c r="E372" s="8"/>
      <c r="F372" s="11">
        <f>Source!AM161</f>
        <v>2713.55</v>
      </c>
      <c r="G372" s="28">
        <f>Source!DE161</f>
      </c>
      <c r="H372" s="8">
        <f>Source!AV161</f>
        <v>1.047</v>
      </c>
      <c r="I372" s="11">
        <f>ROUND((Source!CR161/IF(Source!BB161&lt;&gt;0,Source!BB161,1)*Source!I161),2)</f>
        <v>2.84</v>
      </c>
      <c r="J372" s="8">
        <f>Source!BB161</f>
        <v>6.8</v>
      </c>
      <c r="K372" s="11"/>
    </row>
    <row r="373" spans="1:12" ht="12.75">
      <c r="A373" s="8"/>
      <c r="B373" s="8"/>
      <c r="C373" s="8" t="s">
        <v>646</v>
      </c>
      <c r="D373" s="8"/>
      <c r="E373" s="8"/>
      <c r="F373" s="11">
        <f>Source!AN161</f>
        <v>735.23</v>
      </c>
      <c r="G373" s="28">
        <f>Source!DF161</f>
      </c>
      <c r="H373" s="8">
        <f>Source!AV161</f>
        <v>1.047</v>
      </c>
      <c r="I373" s="29" t="str">
        <f>CONCATENATE("(",TEXT(+ROUND((Source!CS161/IF(J373&lt;&gt;0,J373,1)*Source!I161),2),"0,00"),")")</f>
        <v>(0,77)</v>
      </c>
      <c r="J373" s="8">
        <f>Source!BS161</f>
        <v>13.09</v>
      </c>
      <c r="K373" s="29"/>
      <c r="L373">
        <f>ROUND(IF(J373&lt;&gt;0,Source!R161/J373,Source!R161),2)</f>
        <v>0.77</v>
      </c>
    </row>
    <row r="374" spans="1:11" ht="12.75">
      <c r="A374" s="8"/>
      <c r="B374" s="8"/>
      <c r="C374" s="8" t="s">
        <v>647</v>
      </c>
      <c r="D374" s="8" t="s">
        <v>648</v>
      </c>
      <c r="E374" s="8">
        <f>Source!DN161</f>
        <v>80</v>
      </c>
      <c r="F374" s="8"/>
      <c r="G374" s="8"/>
      <c r="H374" s="8"/>
      <c r="I374" s="11">
        <f>ROUND((E374/100)*ROUND((Source!CT161/IF(Source!BA161&lt;&gt;0,Source!BA161,1)*Source!I161),2),2)</f>
        <v>1.42</v>
      </c>
      <c r="J374" s="8">
        <f>Source!AT161</f>
        <v>73</v>
      </c>
      <c r="K374" s="11"/>
    </row>
    <row r="375" spans="1:11" ht="12.75">
      <c r="A375" s="8"/>
      <c r="B375" s="8"/>
      <c r="C375" s="8" t="s">
        <v>649</v>
      </c>
      <c r="D375" s="8" t="s">
        <v>648</v>
      </c>
      <c r="E375" s="8">
        <f>Source!DO161</f>
        <v>55</v>
      </c>
      <c r="F375" s="8"/>
      <c r="G375" s="8"/>
      <c r="H375" s="8"/>
      <c r="I375" s="11">
        <f>ROUND((E375/100)*ROUND((Source!CT161/IF(Source!BA161&lt;&gt;0,Source!BA161,1)*Source!I161),2),2)</f>
        <v>0.97</v>
      </c>
      <c r="J375" s="8">
        <f>Source!AU161</f>
        <v>42</v>
      </c>
      <c r="K375" s="11"/>
    </row>
    <row r="376" spans="1:11" ht="12.75">
      <c r="A376" s="8"/>
      <c r="B376" s="8"/>
      <c r="C376" s="8" t="s">
        <v>650</v>
      </c>
      <c r="D376" s="8" t="s">
        <v>648</v>
      </c>
      <c r="E376" s="8">
        <v>175</v>
      </c>
      <c r="F376" s="8"/>
      <c r="G376" s="8"/>
      <c r="H376" s="8"/>
      <c r="I376" s="11">
        <f>ROUND(ROUND((Source!CS161/IF(Source!BS161&lt;&gt;0,Source!BS161,1)*Source!I161),2)*1.75,2)</f>
        <v>1.35</v>
      </c>
      <c r="J376" s="8">
        <v>167</v>
      </c>
      <c r="K376" s="11"/>
    </row>
    <row r="377" spans="1:11" ht="12.75">
      <c r="A377" s="30"/>
      <c r="B377" s="30"/>
      <c r="C377" s="30" t="s">
        <v>651</v>
      </c>
      <c r="D377" s="30" t="s">
        <v>652</v>
      </c>
      <c r="E377" s="30">
        <f>Source!AQ161</f>
        <v>155</v>
      </c>
      <c r="F377" s="30"/>
      <c r="G377" s="31">
        <f>Source!DI161</f>
      </c>
      <c r="H377" s="30">
        <f>Source!AV161</f>
        <v>1.047</v>
      </c>
      <c r="I377" s="32">
        <f>ROUND(Source!U161,2)</f>
        <v>0.16</v>
      </c>
      <c r="J377" s="30"/>
      <c r="K377" s="30"/>
    </row>
    <row r="378" spans="9:24" ht="12.75">
      <c r="I378" s="33">
        <f>ROUND((Source!CT161/IF(Source!BA161&lt;&gt;0,Source!BA161,1)*Source!I161),2)+ROUND((Source!CR161/IF(Source!BB161&lt;&gt;0,Source!BB161,1)*Source!I161),2)+ROUND((Source!CQ161/IF(Source!BC161&lt;&gt;0,Source!BC161,1)*Source!I161),2)+SUM(I374:I376)</f>
        <v>8.35</v>
      </c>
      <c r="J378" s="34"/>
      <c r="K378" s="33"/>
      <c r="L378">
        <f>ROUND((Source!CT161/IF(Source!BA161&lt;&gt;0,Source!BA161,1)*Source!I161),2)</f>
        <v>1.77</v>
      </c>
      <c r="M378" s="12">
        <f>I378</f>
        <v>8.35</v>
      </c>
      <c r="N378" s="12">
        <f>K378</f>
        <v>0</v>
      </c>
      <c r="O378">
        <f>ROUND(IF(Source!BI161=1,(ROUND((Source!CT161/IF(Source!BA161&lt;&gt;0,Source!BA161,1)*Source!I161),2)+ROUND((Source!CR161/IF(Source!BB161&lt;&gt;0,Source!BB161,1)*Source!I161),2)+ROUND((Source!CQ161/IF(Source!BC161&lt;&gt;0,Source!BC161,1)*Source!I161),2)+((Source!DN161/100)*ROUND((Source!CT161/IF(Source!BA161&lt;&gt;0,Source!BA161,1)*Source!I161),2))+((Source!DO161/100)*ROUND((Source!CT161/IF(Source!BA161&lt;&gt;0,Source!BA161,1)*Source!I161),2))+(ROUND((Source!CS161/IF(Source!BS161&lt;&gt;0,Source!BS161,1)*Source!I161),2)*1.75)),0),2)</f>
        <v>8.35</v>
      </c>
      <c r="P378">
        <f>ROUND(IF(Source!BI161=2,(ROUND((Source!CT161/IF(Source!BA161&lt;&gt;0,Source!BA161,1)*Source!I161),2)+ROUND((Source!CR161/IF(Source!BB161&lt;&gt;0,Source!BB161,1)*Source!I161),2)+ROUND((Source!CQ161/IF(Source!BC161&lt;&gt;0,Source!BC161,1)*Source!I161),2)+((Source!DN161/100)*ROUND((Source!CT161/IF(Source!BA161&lt;&gt;0,Source!BA161,1)*Source!I161),2))+((Source!DO161/100)*ROUND((Source!CT161/IF(Source!BA161&lt;&gt;0,Source!BA161,1)*Source!I161),2))+(ROUND((Source!CS161/IF(Source!BS161&lt;&gt;0,Source!BS161,1)*Source!I161),2)*1.75)),0),2)</f>
        <v>0</v>
      </c>
      <c r="Q378">
        <f>ROUND(IF(Source!BI161=3,(ROUND((Source!CT161/IF(Source!BA161&lt;&gt;0,Source!BA161,1)*Source!I161),2)+ROUND((Source!CR161/IF(Source!BB161&lt;&gt;0,Source!BB161,1)*Source!I161),2)+ROUND((Source!CQ161/IF(Source!BC161&lt;&gt;0,Source!BC161,1)*Source!I161),2)+((Source!DN161/100)*ROUND((Source!CT161/IF(Source!BA161&lt;&gt;0,Source!BA161,1)*Source!I161),2))+((Source!DO161/100)*ROUND((Source!CT161/IF(Source!BA161&lt;&gt;0,Source!BA161,1)*Source!I161),2))+(ROUND((Source!CS161/IF(Source!BS161&lt;&gt;0,Source!BS161,1)*Source!I161),2)*1.75)),0),2)</f>
        <v>0</v>
      </c>
      <c r="R378">
        <f>ROUND(IF(Source!BI161=4,(ROUND((Source!CT161/IF(Source!BA161&lt;&gt;0,Source!BA161,1)*Source!I161),2)+ROUND((Source!CR161/IF(Source!BB161&lt;&gt;0,Source!BB161,1)*Source!I161),2)+ROUND((Source!CQ161/IF(Source!BC161&lt;&gt;0,Source!BC161,1)*Source!I161),2)+((Source!DN161/100)*ROUND((Source!CT161/IF(Source!BA161&lt;&gt;0,Source!BA161,1)*Source!I161),2))+((Source!DO161/100)*ROUND((Source!CT161/IF(Source!BA161&lt;&gt;0,Source!BA161,1)*Source!I161),2))+(ROUND((Source!CS161/IF(Source!BS161&lt;&gt;0,Source!BS161,1)*Source!I161),2)*1.75)),0),2)</f>
        <v>0</v>
      </c>
      <c r="U378">
        <f>IF(Source!BI161=1,Source!O161+Source!X161+Source!Y161+Source!R161*167/100,0)</f>
        <v>85.8736</v>
      </c>
      <c r="V378">
        <f>IF(Source!BI161=2,Source!O161+Source!X161+Source!Y161+Source!R161*167/100,0)</f>
        <v>0</v>
      </c>
      <c r="W378">
        <f>IF(Source!BI161=3,Source!O161+Source!X161+Source!Y161+Source!R161*167/100,0)</f>
        <v>0</v>
      </c>
      <c r="X378">
        <f>IF(Source!BI161=4,Source!O161+Source!X161+Source!Y161+Source!R161*167/100,0)</f>
        <v>0</v>
      </c>
    </row>
    <row r="379" spans="1:25" ht="36">
      <c r="A379" s="26" t="str">
        <f>Source!E162</f>
        <v>50</v>
      </c>
      <c r="B379" s="26" t="str">
        <f>Source!F162</f>
        <v>6.68-51-5</v>
      </c>
      <c r="C379" s="9" t="str">
        <f>Source!G162</f>
        <v>РАЗБОРКА ПОКРЫТИЙ И ОСНОВАНИЙ ЦЕМЕНТОБЕТОННЫХ</v>
      </c>
      <c r="D379" s="27" t="str">
        <f>Source!H162</f>
        <v>100 м3</v>
      </c>
      <c r="E379" s="8">
        <f>ROUND(Source!I162,6)</f>
        <v>0.002</v>
      </c>
      <c r="F379" s="8"/>
      <c r="G379" s="8"/>
      <c r="H379" s="8"/>
      <c r="I379" s="8"/>
      <c r="J379" s="8"/>
      <c r="K379" s="8"/>
      <c r="Y379">
        <v>51</v>
      </c>
    </row>
    <row r="380" spans="1:11" ht="12.75">
      <c r="A380" s="8"/>
      <c r="B380" s="8"/>
      <c r="C380" s="8" t="s">
        <v>644</v>
      </c>
      <c r="D380" s="8"/>
      <c r="E380" s="8"/>
      <c r="F380" s="11">
        <f>Source!AO162</f>
        <v>624.69</v>
      </c>
      <c r="G380" s="28">
        <f>Source!DG162</f>
      </c>
      <c r="H380" s="8">
        <f>Source!AV162</f>
        <v>1.047</v>
      </c>
      <c r="I380" s="11">
        <f>ROUND((Source!CT162/IF(Source!BA162&lt;&gt;0,Source!BA162,1)*Source!I162),2)</f>
        <v>1.31</v>
      </c>
      <c r="J380" s="8">
        <f>Source!BA162</f>
        <v>13.09</v>
      </c>
      <c r="K380" s="11"/>
    </row>
    <row r="381" spans="1:11" ht="12.75">
      <c r="A381" s="8"/>
      <c r="B381" s="8"/>
      <c r="C381" s="8" t="s">
        <v>645</v>
      </c>
      <c r="D381" s="8"/>
      <c r="E381" s="8"/>
      <c r="F381" s="11">
        <f>Source!AM162</f>
        <v>1574.15</v>
      </c>
      <c r="G381" s="28">
        <f>Source!DE162</f>
      </c>
      <c r="H381" s="8">
        <f>Source!AV162</f>
        <v>1.047</v>
      </c>
      <c r="I381" s="11">
        <f>ROUND((Source!CR162/IF(Source!BB162&lt;&gt;0,Source!BB162,1)*Source!I162),2)</f>
        <v>3.3</v>
      </c>
      <c r="J381" s="8">
        <f>Source!BB162</f>
        <v>6.38</v>
      </c>
      <c r="K381" s="11"/>
    </row>
    <row r="382" spans="1:12" ht="12.75">
      <c r="A382" s="8"/>
      <c r="B382" s="8"/>
      <c r="C382" s="8" t="s">
        <v>646</v>
      </c>
      <c r="D382" s="8"/>
      <c r="E382" s="8"/>
      <c r="F382" s="11">
        <f>Source!AN162</f>
        <v>280.92</v>
      </c>
      <c r="G382" s="28">
        <f>Source!DF162</f>
      </c>
      <c r="H382" s="8">
        <f>Source!AV162</f>
        <v>1.047</v>
      </c>
      <c r="I382" s="29" t="str">
        <f>CONCATENATE("(",TEXT(+ROUND((Source!CS162/IF(J382&lt;&gt;0,J382,1)*Source!I162),2),"0,00"),")")</f>
        <v>(0,59)</v>
      </c>
      <c r="J382" s="8">
        <f>Source!BS162</f>
        <v>13.09</v>
      </c>
      <c r="K382" s="29"/>
      <c r="L382">
        <f>ROUND(IF(J382&lt;&gt;0,Source!R162/J382,Source!R162),2)</f>
        <v>0.59</v>
      </c>
    </row>
    <row r="383" spans="1:11" ht="12.75">
      <c r="A383" s="8"/>
      <c r="B383" s="8"/>
      <c r="C383" s="8" t="s">
        <v>647</v>
      </c>
      <c r="D383" s="8" t="s">
        <v>648</v>
      </c>
      <c r="E383" s="8">
        <f>Source!DN162</f>
        <v>80</v>
      </c>
      <c r="F383" s="8"/>
      <c r="G383" s="8"/>
      <c r="H383" s="8"/>
      <c r="I383" s="11">
        <f>ROUND((E383/100)*ROUND((Source!CT162/IF(Source!BA162&lt;&gt;0,Source!BA162,1)*Source!I162),2),2)</f>
        <v>1.05</v>
      </c>
      <c r="J383" s="8">
        <f>Source!AT162</f>
        <v>73</v>
      </c>
      <c r="K383" s="11"/>
    </row>
    <row r="384" spans="1:11" ht="12.75">
      <c r="A384" s="8"/>
      <c r="B384" s="8"/>
      <c r="C384" s="8" t="s">
        <v>649</v>
      </c>
      <c r="D384" s="8" t="s">
        <v>648</v>
      </c>
      <c r="E384" s="8">
        <f>Source!DO162</f>
        <v>55</v>
      </c>
      <c r="F384" s="8"/>
      <c r="G384" s="8"/>
      <c r="H384" s="8"/>
      <c r="I384" s="11">
        <f>ROUND((E384/100)*ROUND((Source!CT162/IF(Source!BA162&lt;&gt;0,Source!BA162,1)*Source!I162),2),2)</f>
        <v>0.72</v>
      </c>
      <c r="J384" s="8">
        <f>Source!AU162</f>
        <v>42</v>
      </c>
      <c r="K384" s="11"/>
    </row>
    <row r="385" spans="1:11" ht="12.75">
      <c r="A385" s="8"/>
      <c r="B385" s="8"/>
      <c r="C385" s="8" t="s">
        <v>650</v>
      </c>
      <c r="D385" s="8" t="s">
        <v>648</v>
      </c>
      <c r="E385" s="8">
        <v>175</v>
      </c>
      <c r="F385" s="8"/>
      <c r="G385" s="8"/>
      <c r="H385" s="8"/>
      <c r="I385" s="11">
        <f>ROUND(ROUND((Source!CS162/IF(Source!BS162&lt;&gt;0,Source!BS162,1)*Source!I162),2)*1.75,2)</f>
        <v>1.03</v>
      </c>
      <c r="J385" s="8">
        <v>167</v>
      </c>
      <c r="K385" s="11"/>
    </row>
    <row r="386" spans="1:11" ht="12.75">
      <c r="A386" s="30"/>
      <c r="B386" s="30"/>
      <c r="C386" s="30" t="s">
        <v>651</v>
      </c>
      <c r="D386" s="30" t="s">
        <v>652</v>
      </c>
      <c r="E386" s="30">
        <f>Source!AQ162</f>
        <v>49.5</v>
      </c>
      <c r="F386" s="30"/>
      <c r="G386" s="31">
        <f>Source!DI162</f>
      </c>
      <c r="H386" s="30">
        <f>Source!AV162</f>
        <v>1.047</v>
      </c>
      <c r="I386" s="32">
        <f>ROUND(Source!U162,2)</f>
        <v>0.1</v>
      </c>
      <c r="J386" s="30"/>
      <c r="K386" s="30"/>
    </row>
    <row r="387" spans="9:24" ht="12.75">
      <c r="I387" s="33">
        <f>ROUND((Source!CT162/IF(Source!BA162&lt;&gt;0,Source!BA162,1)*Source!I162),2)+ROUND((Source!CR162/IF(Source!BB162&lt;&gt;0,Source!BB162,1)*Source!I162),2)+ROUND((Source!CQ162/IF(Source!BC162&lt;&gt;0,Source!BC162,1)*Source!I162),2)+SUM(I383:I385)</f>
        <v>7.409999999999999</v>
      </c>
      <c r="J387" s="34"/>
      <c r="K387" s="33"/>
      <c r="L387">
        <f>ROUND((Source!CT162/IF(Source!BA162&lt;&gt;0,Source!BA162,1)*Source!I162),2)</f>
        <v>1.31</v>
      </c>
      <c r="M387" s="12">
        <f>I387</f>
        <v>7.409999999999999</v>
      </c>
      <c r="N387" s="12">
        <f>K387</f>
        <v>0</v>
      </c>
      <c r="O387">
        <f>ROUND(IF(Source!BI162=1,(ROUND((Source!CT162/IF(Source!BA162&lt;&gt;0,Source!BA162,1)*Source!I162),2)+ROUND((Source!CR162/IF(Source!BB162&lt;&gt;0,Source!BB162,1)*Source!I162),2)+ROUND((Source!CQ162/IF(Source!BC162&lt;&gt;0,Source!BC162,1)*Source!I162),2)+((Source!DN162/100)*ROUND((Source!CT162/IF(Source!BA162&lt;&gt;0,Source!BA162,1)*Source!I162),2))+((Source!DO162/100)*ROUND((Source!CT162/IF(Source!BA162&lt;&gt;0,Source!BA162,1)*Source!I162),2))+(ROUND((Source!CS162/IF(Source!BS162&lt;&gt;0,Source!BS162,1)*Source!I162),2)*1.75)),0),2)</f>
        <v>7.41</v>
      </c>
      <c r="P387">
        <f>ROUND(IF(Source!BI162=2,(ROUND((Source!CT162/IF(Source!BA162&lt;&gt;0,Source!BA162,1)*Source!I162),2)+ROUND((Source!CR162/IF(Source!BB162&lt;&gt;0,Source!BB162,1)*Source!I162),2)+ROUND((Source!CQ162/IF(Source!BC162&lt;&gt;0,Source!BC162,1)*Source!I162),2)+((Source!DN162/100)*ROUND((Source!CT162/IF(Source!BA162&lt;&gt;0,Source!BA162,1)*Source!I162),2))+((Source!DO162/100)*ROUND((Source!CT162/IF(Source!BA162&lt;&gt;0,Source!BA162,1)*Source!I162),2))+(ROUND((Source!CS162/IF(Source!BS162&lt;&gt;0,Source!BS162,1)*Source!I162),2)*1.75)),0),2)</f>
        <v>0</v>
      </c>
      <c r="Q387">
        <f>ROUND(IF(Source!BI162=3,(ROUND((Source!CT162/IF(Source!BA162&lt;&gt;0,Source!BA162,1)*Source!I162),2)+ROUND((Source!CR162/IF(Source!BB162&lt;&gt;0,Source!BB162,1)*Source!I162),2)+ROUND((Source!CQ162/IF(Source!BC162&lt;&gt;0,Source!BC162,1)*Source!I162),2)+((Source!DN162/100)*ROUND((Source!CT162/IF(Source!BA162&lt;&gt;0,Source!BA162,1)*Source!I162),2))+((Source!DO162/100)*ROUND((Source!CT162/IF(Source!BA162&lt;&gt;0,Source!BA162,1)*Source!I162),2))+(ROUND((Source!CS162/IF(Source!BS162&lt;&gt;0,Source!BS162,1)*Source!I162),2)*1.75)),0),2)</f>
        <v>0</v>
      </c>
      <c r="R387">
        <f>ROUND(IF(Source!BI162=4,(ROUND((Source!CT162/IF(Source!BA162&lt;&gt;0,Source!BA162,1)*Source!I162),2)+ROUND((Source!CR162/IF(Source!BB162&lt;&gt;0,Source!BB162,1)*Source!I162),2)+ROUND((Source!CQ162/IF(Source!BC162&lt;&gt;0,Source!BC162,1)*Source!I162),2)+((Source!DN162/100)*ROUND((Source!CT162/IF(Source!BA162&lt;&gt;0,Source!BA162,1)*Source!I162),2))+((Source!DO162/100)*ROUND((Source!CT162/IF(Source!BA162&lt;&gt;0,Source!BA162,1)*Source!I162),2))+(ROUND((Source!CS162/IF(Source!BS162&lt;&gt;0,Source!BS162,1)*Source!I162),2)*1.75)),0),2)</f>
        <v>0</v>
      </c>
      <c r="U387">
        <f>IF(Source!BI162=1,Source!O162+Source!X162+Source!Y162+Source!R162*167/100,0)</f>
        <v>70.699</v>
      </c>
      <c r="V387">
        <f>IF(Source!BI162=2,Source!O162+Source!X162+Source!Y162+Source!R162*167/100,0)</f>
        <v>0</v>
      </c>
      <c r="W387">
        <f>IF(Source!BI162=3,Source!O162+Source!X162+Source!Y162+Source!R162*167/100,0)</f>
        <v>0</v>
      </c>
      <c r="X387">
        <f>IF(Source!BI162=4,Source!O162+Source!X162+Source!Y162+Source!R162*167/100,0)</f>
        <v>0</v>
      </c>
    </row>
    <row r="388" spans="1:25" ht="60">
      <c r="A388" s="26" t="str">
        <f>Source!E163</f>
        <v>51</v>
      </c>
      <c r="B388" s="26" t="s">
        <v>659</v>
      </c>
      <c r="C388" s="9" t="str">
        <f>Source!G163</f>
        <v>КОПАНИЕ ЯМ ВРУЧНУЮ БЕЗ КРЕПЛЕНИЙ ДЛЯ СТОЕК И СТОЛБОВ С ОТКОСАМИ ГЛУБИНОЙ ДО 1,5 М ГРУППА ГРУНТОВ 1-3</v>
      </c>
      <c r="D388" s="27" t="str">
        <f>Source!H163</f>
        <v>100 м3</v>
      </c>
      <c r="E388" s="8">
        <f>ROUND(Source!I163,6)</f>
        <v>0.022</v>
      </c>
      <c r="F388" s="8"/>
      <c r="G388" s="8"/>
      <c r="H388" s="8"/>
      <c r="I388" s="8"/>
      <c r="J388" s="8"/>
      <c r="K388" s="8"/>
      <c r="Y388">
        <v>52</v>
      </c>
    </row>
    <row r="389" spans="1:11" ht="12.75">
      <c r="A389" s="8"/>
      <c r="B389" s="8"/>
      <c r="C389" s="8" t="s">
        <v>644</v>
      </c>
      <c r="D389" s="8"/>
      <c r="E389" s="8"/>
      <c r="F389" s="11">
        <f>Source!AO163</f>
        <v>2042.62</v>
      </c>
      <c r="G389" s="28" t="str">
        <f>Source!DG163</f>
        <v>)*1,15</v>
      </c>
      <c r="H389" s="8">
        <f>Source!AV163</f>
        <v>1.248</v>
      </c>
      <c r="I389" s="11">
        <f>ROUND((Source!CT163/IF(Source!BA163&lt;&gt;0,Source!BA163,1)*Source!I163),2)</f>
        <v>64.49</v>
      </c>
      <c r="J389" s="8">
        <f>Source!BA163</f>
        <v>13.09</v>
      </c>
      <c r="K389" s="11"/>
    </row>
    <row r="390" spans="1:11" ht="12.75">
      <c r="A390" s="8"/>
      <c r="B390" s="8"/>
      <c r="C390" s="8" t="s">
        <v>647</v>
      </c>
      <c r="D390" s="8" t="s">
        <v>648</v>
      </c>
      <c r="E390" s="8">
        <f>Source!DN163</f>
        <v>105</v>
      </c>
      <c r="F390" s="8"/>
      <c r="G390" s="8"/>
      <c r="H390" s="8"/>
      <c r="I390" s="11">
        <f>ROUND((E390/100)*ROUND((Source!CT163/IF(Source!BA163&lt;&gt;0,Source!BA163,1)*Source!I163),2),2)</f>
        <v>67.71</v>
      </c>
      <c r="J390" s="8">
        <f>Source!AT163</f>
        <v>90</v>
      </c>
      <c r="K390" s="11"/>
    </row>
    <row r="391" spans="1:11" ht="12.75">
      <c r="A391" s="8"/>
      <c r="B391" s="8"/>
      <c r="C391" s="8" t="s">
        <v>649</v>
      </c>
      <c r="D391" s="8" t="s">
        <v>648</v>
      </c>
      <c r="E391" s="8">
        <f>Source!DO163</f>
        <v>77</v>
      </c>
      <c r="F391" s="8"/>
      <c r="G391" s="8"/>
      <c r="H391" s="8"/>
      <c r="I391" s="11">
        <f>ROUND((E391/100)*ROUND((Source!CT163/IF(Source!BA163&lt;&gt;0,Source!BA163,1)*Source!I163),2),2)</f>
        <v>49.66</v>
      </c>
      <c r="J391" s="8">
        <f>Source!AU163</f>
        <v>42</v>
      </c>
      <c r="K391" s="11"/>
    </row>
    <row r="392" spans="1:11" ht="12.75">
      <c r="A392" s="30"/>
      <c r="B392" s="30"/>
      <c r="C392" s="30" t="s">
        <v>651</v>
      </c>
      <c r="D392" s="30" t="s">
        <v>652</v>
      </c>
      <c r="E392" s="30">
        <f>Source!AQ163</f>
        <v>192.7</v>
      </c>
      <c r="F392" s="30"/>
      <c r="G392" s="31" t="str">
        <f>Source!DI163</f>
        <v>)*1,15</v>
      </c>
      <c r="H392" s="30">
        <f>Source!AV163</f>
        <v>1.248</v>
      </c>
      <c r="I392" s="32">
        <f>ROUND(Source!U163,2)</f>
        <v>6.08</v>
      </c>
      <c r="J392" s="30"/>
      <c r="K392" s="30"/>
    </row>
    <row r="393" spans="9:24" ht="12.75">
      <c r="I393" s="33">
        <f>ROUND((Source!CT163/IF(Source!BA163&lt;&gt;0,Source!BA163,1)*Source!I163),2)+ROUND((Source!CR163/IF(Source!BB163&lt;&gt;0,Source!BB163,1)*Source!I163),2)+ROUND((Source!CQ163/IF(Source!BC163&lt;&gt;0,Source!BC163,1)*Source!I163),2)+SUM(I390:I391)</f>
        <v>181.85999999999999</v>
      </c>
      <c r="J393" s="34"/>
      <c r="K393" s="33"/>
      <c r="L393">
        <f>ROUND((Source!CT163/IF(Source!BA163&lt;&gt;0,Source!BA163,1)*Source!I163),2)</f>
        <v>64.49</v>
      </c>
      <c r="M393" s="12">
        <f>I393</f>
        <v>181.85999999999999</v>
      </c>
      <c r="N393" s="12">
        <f>K393</f>
        <v>0</v>
      </c>
      <c r="O393">
        <f>ROUND(IF(Source!BI163=1,(ROUND((Source!CT163/IF(Source!BA163&lt;&gt;0,Source!BA163,1)*Source!I163),2)+ROUND((Source!CR163/IF(Source!BB163&lt;&gt;0,Source!BB163,1)*Source!I163),2)+ROUND((Source!CQ163/IF(Source!BC163&lt;&gt;0,Source!BC163,1)*Source!I163),2)+((Source!DN163/100)*ROUND((Source!CT163/IF(Source!BA163&lt;&gt;0,Source!BA163,1)*Source!I163),2))+((Source!DO163/100)*ROUND((Source!CT163/IF(Source!BA163&lt;&gt;0,Source!BA163,1)*Source!I163),2))+(ROUND((Source!CS163/IF(Source!BS163&lt;&gt;0,Source!BS163,1)*Source!I163),2)*1.75)),0),2)</f>
        <v>181.86</v>
      </c>
      <c r="P393">
        <f>ROUND(IF(Source!BI163=2,(ROUND((Source!CT163/IF(Source!BA163&lt;&gt;0,Source!BA163,1)*Source!I163),2)+ROUND((Source!CR163/IF(Source!BB163&lt;&gt;0,Source!BB163,1)*Source!I163),2)+ROUND((Source!CQ163/IF(Source!BC163&lt;&gt;0,Source!BC163,1)*Source!I163),2)+((Source!DN163/100)*ROUND((Source!CT163/IF(Source!BA163&lt;&gt;0,Source!BA163,1)*Source!I163),2))+((Source!DO163/100)*ROUND((Source!CT163/IF(Source!BA163&lt;&gt;0,Source!BA163,1)*Source!I163),2))+(ROUND((Source!CS163/IF(Source!BS163&lt;&gt;0,Source!BS163,1)*Source!I163),2)*1.75)),0),2)</f>
        <v>0</v>
      </c>
      <c r="Q393">
        <f>ROUND(IF(Source!BI163=3,(ROUND((Source!CT163/IF(Source!BA163&lt;&gt;0,Source!BA163,1)*Source!I163),2)+ROUND((Source!CR163/IF(Source!BB163&lt;&gt;0,Source!BB163,1)*Source!I163),2)+ROUND((Source!CQ163/IF(Source!BC163&lt;&gt;0,Source!BC163,1)*Source!I163),2)+((Source!DN163/100)*ROUND((Source!CT163/IF(Source!BA163&lt;&gt;0,Source!BA163,1)*Source!I163),2))+((Source!DO163/100)*ROUND((Source!CT163/IF(Source!BA163&lt;&gt;0,Source!BA163,1)*Source!I163),2))+(ROUND((Source!CS163/IF(Source!BS163&lt;&gt;0,Source!BS163,1)*Source!I163),2)*1.75)),0),2)</f>
        <v>0</v>
      </c>
      <c r="R393">
        <f>ROUND(IF(Source!BI163=4,(ROUND((Source!CT163/IF(Source!BA163&lt;&gt;0,Source!BA163,1)*Source!I163),2)+ROUND((Source!CR163/IF(Source!BB163&lt;&gt;0,Source!BB163,1)*Source!I163),2)+ROUND((Source!CQ163/IF(Source!BC163&lt;&gt;0,Source!BC163,1)*Source!I163),2)+((Source!DN163/100)*ROUND((Source!CT163/IF(Source!BA163&lt;&gt;0,Source!BA163,1)*Source!I163),2))+((Source!DO163/100)*ROUND((Source!CT163/IF(Source!BA163&lt;&gt;0,Source!BA163,1)*Source!I163),2))+(ROUND((Source!CS163/IF(Source!BS163&lt;&gt;0,Source!BS163,1)*Source!I163),2)*1.75)),0),2)</f>
        <v>0</v>
      </c>
      <c r="U393">
        <f>IF(Source!BI163=1,Source!O163+Source!X163+Source!Y163+Source!R163*167/100,0)</f>
        <v>1958.62</v>
      </c>
      <c r="V393">
        <f>IF(Source!BI163=2,Source!O163+Source!X163+Source!Y163+Source!R163*167/100,0)</f>
        <v>0</v>
      </c>
      <c r="W393">
        <f>IF(Source!BI163=3,Source!O163+Source!X163+Source!Y163+Source!R163*167/100,0)</f>
        <v>0</v>
      </c>
      <c r="X393">
        <f>IF(Source!BI163=4,Source!O163+Source!X163+Source!Y163+Source!R163*167/100,0)</f>
        <v>0</v>
      </c>
    </row>
    <row r="394" spans="1:25" ht="36">
      <c r="A394" s="26" t="str">
        <f>Source!E164</f>
        <v>52</v>
      </c>
      <c r="B394" s="26" t="str">
        <f>Source!F164</f>
        <v>3.1-53-1</v>
      </c>
      <c r="C394" s="9" t="str">
        <f>Source!G164</f>
        <v>ЗАСЫПКА ВРУЧНУЮ ТРАНШЕЙ, ПАЗУХ КОТЛОВАНОВ И ЯМ ГРУППА ГРУНТОВ 1-3</v>
      </c>
      <c r="D394" s="27" t="str">
        <f>Source!H164</f>
        <v>100 м3</v>
      </c>
      <c r="E394" s="8">
        <f>ROUND(Source!I164,6)</f>
        <v>0.003</v>
      </c>
      <c r="F394" s="8"/>
      <c r="G394" s="8"/>
      <c r="H394" s="8"/>
      <c r="I394" s="8"/>
      <c r="J394" s="8"/>
      <c r="K394" s="8"/>
      <c r="Y394">
        <v>53</v>
      </c>
    </row>
    <row r="395" spans="1:11" ht="12.75">
      <c r="A395" s="8"/>
      <c r="B395" s="8"/>
      <c r="C395" s="8" t="s">
        <v>644</v>
      </c>
      <c r="D395" s="8"/>
      <c r="E395" s="8"/>
      <c r="F395" s="11">
        <f>Source!AO164</f>
        <v>1051.13</v>
      </c>
      <c r="G395" s="28" t="str">
        <f>Source!DG164</f>
        <v>)*1,15</v>
      </c>
      <c r="H395" s="8">
        <f>Source!AV164</f>
        <v>1.248</v>
      </c>
      <c r="I395" s="11">
        <f>ROUND((Source!CT164/IF(Source!BA164&lt;&gt;0,Source!BA164,1)*Source!I164),2)</f>
        <v>4.53</v>
      </c>
      <c r="J395" s="8">
        <f>Source!BA164</f>
        <v>13.09</v>
      </c>
      <c r="K395" s="11"/>
    </row>
    <row r="396" spans="1:11" ht="12.75">
      <c r="A396" s="8"/>
      <c r="B396" s="8"/>
      <c r="C396" s="8" t="s">
        <v>647</v>
      </c>
      <c r="D396" s="8" t="s">
        <v>648</v>
      </c>
      <c r="E396" s="8">
        <f>Source!DN164</f>
        <v>105</v>
      </c>
      <c r="F396" s="8"/>
      <c r="G396" s="8"/>
      <c r="H396" s="8"/>
      <c r="I396" s="11">
        <f>ROUND((E396/100)*ROUND((Source!CT164/IF(Source!BA164&lt;&gt;0,Source!BA164,1)*Source!I164),2),2)</f>
        <v>4.76</v>
      </c>
      <c r="J396" s="8">
        <f>Source!AT164</f>
        <v>90</v>
      </c>
      <c r="K396" s="11"/>
    </row>
    <row r="397" spans="1:11" ht="12.75">
      <c r="A397" s="8"/>
      <c r="B397" s="8"/>
      <c r="C397" s="8" t="s">
        <v>649</v>
      </c>
      <c r="D397" s="8" t="s">
        <v>648</v>
      </c>
      <c r="E397" s="8">
        <f>Source!DO164</f>
        <v>77</v>
      </c>
      <c r="F397" s="8"/>
      <c r="G397" s="8"/>
      <c r="H397" s="8"/>
      <c r="I397" s="11">
        <f>ROUND((E397/100)*ROUND((Source!CT164/IF(Source!BA164&lt;&gt;0,Source!BA164,1)*Source!I164),2),2)</f>
        <v>3.49</v>
      </c>
      <c r="J397" s="8">
        <f>Source!AU164</f>
        <v>42</v>
      </c>
      <c r="K397" s="11"/>
    </row>
    <row r="398" spans="1:11" ht="12.75">
      <c r="A398" s="30"/>
      <c r="B398" s="30"/>
      <c r="C398" s="30" t="s">
        <v>651</v>
      </c>
      <c r="D398" s="30" t="s">
        <v>652</v>
      </c>
      <c r="E398" s="30">
        <f>Source!AQ164</f>
        <v>107.04</v>
      </c>
      <c r="F398" s="30"/>
      <c r="G398" s="31" t="str">
        <f>Source!DI164</f>
        <v>)*1,15</v>
      </c>
      <c r="H398" s="30">
        <f>Source!AV164</f>
        <v>1.248</v>
      </c>
      <c r="I398" s="32">
        <f>ROUND(Source!U164,2)</f>
        <v>0.46</v>
      </c>
      <c r="J398" s="30"/>
      <c r="K398" s="30"/>
    </row>
    <row r="399" spans="9:24" ht="12.75">
      <c r="I399" s="33">
        <f>ROUND((Source!CT164/IF(Source!BA164&lt;&gt;0,Source!BA164,1)*Source!I164),2)+ROUND((Source!CR164/IF(Source!BB164&lt;&gt;0,Source!BB164,1)*Source!I164),2)+ROUND((Source!CQ164/IF(Source!BC164&lt;&gt;0,Source!BC164,1)*Source!I164),2)+SUM(I396:I397)</f>
        <v>12.780000000000001</v>
      </c>
      <c r="J399" s="34"/>
      <c r="K399" s="33"/>
      <c r="L399">
        <f>ROUND((Source!CT164/IF(Source!BA164&lt;&gt;0,Source!BA164,1)*Source!I164),2)</f>
        <v>4.53</v>
      </c>
      <c r="M399" s="12">
        <f>I399</f>
        <v>12.780000000000001</v>
      </c>
      <c r="N399" s="12">
        <f>K399</f>
        <v>0</v>
      </c>
      <c r="O399">
        <f>ROUND(IF(Source!BI164=1,(ROUND((Source!CT164/IF(Source!BA164&lt;&gt;0,Source!BA164,1)*Source!I164),2)+ROUND((Source!CR164/IF(Source!BB164&lt;&gt;0,Source!BB164,1)*Source!I164),2)+ROUND((Source!CQ164/IF(Source!BC164&lt;&gt;0,Source!BC164,1)*Source!I164),2)+((Source!DN164/100)*ROUND((Source!CT164/IF(Source!BA164&lt;&gt;0,Source!BA164,1)*Source!I164),2))+((Source!DO164/100)*ROUND((Source!CT164/IF(Source!BA164&lt;&gt;0,Source!BA164,1)*Source!I164),2))+(ROUND((Source!CS164/IF(Source!BS164&lt;&gt;0,Source!BS164,1)*Source!I164),2)*1.75)),0),2)</f>
        <v>12.77</v>
      </c>
      <c r="P399">
        <f>ROUND(IF(Source!BI164=2,(ROUND((Source!CT164/IF(Source!BA164&lt;&gt;0,Source!BA164,1)*Source!I164),2)+ROUND((Source!CR164/IF(Source!BB164&lt;&gt;0,Source!BB164,1)*Source!I164),2)+ROUND((Source!CQ164/IF(Source!BC164&lt;&gt;0,Source!BC164,1)*Source!I164),2)+((Source!DN164/100)*ROUND((Source!CT164/IF(Source!BA164&lt;&gt;0,Source!BA164,1)*Source!I164),2))+((Source!DO164/100)*ROUND((Source!CT164/IF(Source!BA164&lt;&gt;0,Source!BA164,1)*Source!I164),2))+(ROUND((Source!CS164/IF(Source!BS164&lt;&gt;0,Source!BS164,1)*Source!I164),2)*1.75)),0),2)</f>
        <v>0</v>
      </c>
      <c r="Q399">
        <f>ROUND(IF(Source!BI164=3,(ROUND((Source!CT164/IF(Source!BA164&lt;&gt;0,Source!BA164,1)*Source!I164),2)+ROUND((Source!CR164/IF(Source!BB164&lt;&gt;0,Source!BB164,1)*Source!I164),2)+ROUND((Source!CQ164/IF(Source!BC164&lt;&gt;0,Source!BC164,1)*Source!I164),2)+((Source!DN164/100)*ROUND((Source!CT164/IF(Source!BA164&lt;&gt;0,Source!BA164,1)*Source!I164),2))+((Source!DO164/100)*ROUND((Source!CT164/IF(Source!BA164&lt;&gt;0,Source!BA164,1)*Source!I164),2))+(ROUND((Source!CS164/IF(Source!BS164&lt;&gt;0,Source!BS164,1)*Source!I164),2)*1.75)),0),2)</f>
        <v>0</v>
      </c>
      <c r="R399">
        <f>ROUND(IF(Source!BI164=4,(ROUND((Source!CT164/IF(Source!BA164&lt;&gt;0,Source!BA164,1)*Source!I164),2)+ROUND((Source!CR164/IF(Source!BB164&lt;&gt;0,Source!BB164,1)*Source!I164),2)+ROUND((Source!CQ164/IF(Source!BC164&lt;&gt;0,Source!BC164,1)*Source!I164),2)+((Source!DN164/100)*ROUND((Source!CT164/IF(Source!BA164&lt;&gt;0,Source!BA164,1)*Source!I164),2))+((Source!DO164/100)*ROUND((Source!CT164/IF(Source!BA164&lt;&gt;0,Source!BA164,1)*Source!I164),2))+(ROUND((Source!CS164/IF(Source!BS164&lt;&gt;0,Source!BS164,1)*Source!I164),2)*1.75)),0),2)</f>
        <v>0</v>
      </c>
      <c r="U399">
        <f>IF(Source!BI164=1,Source!O164+Source!X164+Source!Y164+Source!R164*167/100,0)</f>
        <v>137.44</v>
      </c>
      <c r="V399">
        <f>IF(Source!BI164=2,Source!O164+Source!X164+Source!Y164+Source!R164*167/100,0)</f>
        <v>0</v>
      </c>
      <c r="W399">
        <f>IF(Source!BI164=3,Source!O164+Source!X164+Source!Y164+Source!R164*167/100,0)</f>
        <v>0</v>
      </c>
      <c r="X399">
        <f>IF(Source!BI164=4,Source!O164+Source!X164+Source!Y164+Source!R164*167/100,0)</f>
        <v>0</v>
      </c>
    </row>
    <row r="400" spans="1:25" ht="36">
      <c r="A400" s="26" t="str">
        <f>Source!E165</f>
        <v>53</v>
      </c>
      <c r="B400" s="26" t="str">
        <f>Source!F165</f>
        <v>6.51-6-1</v>
      </c>
      <c r="C400" s="9" t="str">
        <f>Source!G165</f>
        <v>ПОГРУЗКА ГРУНТА ВРУЧНУЮ В АВТОМОБИЛИ-САМОСВАЛЫ С ВЫГРУЗКОЙ</v>
      </c>
      <c r="D400" s="27" t="str">
        <f>Source!H165</f>
        <v>100 м3</v>
      </c>
      <c r="E400" s="8">
        <f>ROUND(Source!I165,6)</f>
        <v>0.019</v>
      </c>
      <c r="F400" s="8"/>
      <c r="G400" s="8"/>
      <c r="H400" s="8"/>
      <c r="I400" s="8"/>
      <c r="J400" s="8"/>
      <c r="K400" s="8"/>
      <c r="Y400">
        <v>54</v>
      </c>
    </row>
    <row r="401" spans="1:11" ht="12.75">
      <c r="A401" s="8"/>
      <c r="B401" s="8"/>
      <c r="C401" s="8" t="s">
        <v>644</v>
      </c>
      <c r="D401" s="8"/>
      <c r="E401" s="8"/>
      <c r="F401" s="11">
        <f>Source!AO165</f>
        <v>795.14</v>
      </c>
      <c r="G401" s="28">
        <f>Source!DG165</f>
      </c>
      <c r="H401" s="8">
        <f>Source!AV165</f>
        <v>1.248</v>
      </c>
      <c r="I401" s="11">
        <f>ROUND((Source!CT165/IF(Source!BA165&lt;&gt;0,Source!BA165,1)*Source!I165),2)</f>
        <v>18.85</v>
      </c>
      <c r="J401" s="8">
        <f>Source!BA165</f>
        <v>13.09</v>
      </c>
      <c r="K401" s="11"/>
    </row>
    <row r="402" spans="1:11" ht="12.75">
      <c r="A402" s="8"/>
      <c r="B402" s="8"/>
      <c r="C402" s="8" t="s">
        <v>647</v>
      </c>
      <c r="D402" s="8" t="s">
        <v>648</v>
      </c>
      <c r="E402" s="8">
        <f>Source!DN165</f>
        <v>91</v>
      </c>
      <c r="F402" s="8"/>
      <c r="G402" s="8"/>
      <c r="H402" s="8"/>
      <c r="I402" s="11">
        <f>ROUND((E402/100)*ROUND((Source!CT165/IF(Source!BA165&lt;&gt;0,Source!BA165,1)*Source!I165),2),2)</f>
        <v>17.15</v>
      </c>
      <c r="J402" s="8">
        <f>Source!AT165</f>
        <v>78</v>
      </c>
      <c r="K402" s="11"/>
    </row>
    <row r="403" spans="1:11" ht="12.75">
      <c r="A403" s="8"/>
      <c r="B403" s="8"/>
      <c r="C403" s="8" t="s">
        <v>649</v>
      </c>
      <c r="D403" s="8" t="s">
        <v>648</v>
      </c>
      <c r="E403" s="8">
        <f>Source!DO165</f>
        <v>67</v>
      </c>
      <c r="F403" s="8"/>
      <c r="G403" s="8"/>
      <c r="H403" s="8"/>
      <c r="I403" s="11">
        <f>ROUND((E403/100)*ROUND((Source!CT165/IF(Source!BA165&lt;&gt;0,Source!BA165,1)*Source!I165),2),2)</f>
        <v>12.63</v>
      </c>
      <c r="J403" s="8">
        <f>Source!AU165</f>
        <v>42</v>
      </c>
      <c r="K403" s="11"/>
    </row>
    <row r="404" spans="1:11" ht="12.75">
      <c r="A404" s="30"/>
      <c r="B404" s="30"/>
      <c r="C404" s="30" t="s">
        <v>651</v>
      </c>
      <c r="D404" s="30" t="s">
        <v>652</v>
      </c>
      <c r="E404" s="30">
        <f>Source!AQ165</f>
        <v>83</v>
      </c>
      <c r="F404" s="30"/>
      <c r="G404" s="31">
        <f>Source!DI165</f>
      </c>
      <c r="H404" s="30">
        <f>Source!AV165</f>
        <v>1.248</v>
      </c>
      <c r="I404" s="32">
        <f>ROUND(Source!U165,2)</f>
        <v>1.97</v>
      </c>
      <c r="J404" s="30"/>
      <c r="K404" s="30"/>
    </row>
    <row r="405" spans="9:24" ht="12.75">
      <c r="I405" s="33">
        <f>ROUND((Source!CT165/IF(Source!BA165&lt;&gt;0,Source!BA165,1)*Source!I165),2)+ROUND((Source!CR165/IF(Source!BB165&lt;&gt;0,Source!BB165,1)*Source!I165),2)+ROUND((Source!CQ165/IF(Source!BC165&lt;&gt;0,Source!BC165,1)*Source!I165),2)+SUM(I402:I403)</f>
        <v>48.63</v>
      </c>
      <c r="J405" s="34"/>
      <c r="K405" s="33"/>
      <c r="L405">
        <f>ROUND((Source!CT165/IF(Source!BA165&lt;&gt;0,Source!BA165,1)*Source!I165),2)</f>
        <v>18.85</v>
      </c>
      <c r="M405" s="12">
        <f>I405</f>
        <v>48.63</v>
      </c>
      <c r="N405" s="12">
        <f>K405</f>
        <v>0</v>
      </c>
      <c r="O405">
        <f>ROUND(IF(Source!BI165=1,(ROUND((Source!CT165/IF(Source!BA165&lt;&gt;0,Source!BA165,1)*Source!I165),2)+ROUND((Source!CR165/IF(Source!BB165&lt;&gt;0,Source!BB165,1)*Source!I165),2)+ROUND((Source!CQ165/IF(Source!BC165&lt;&gt;0,Source!BC165,1)*Source!I165),2)+((Source!DN165/100)*ROUND((Source!CT165/IF(Source!BA165&lt;&gt;0,Source!BA165,1)*Source!I165),2))+((Source!DO165/100)*ROUND((Source!CT165/IF(Source!BA165&lt;&gt;0,Source!BA165,1)*Source!I165),2))+(ROUND((Source!CS165/IF(Source!BS165&lt;&gt;0,Source!BS165,1)*Source!I165),2)*1.75)),0),2)</f>
        <v>48.63</v>
      </c>
      <c r="P405">
        <f>ROUND(IF(Source!BI165=2,(ROUND((Source!CT165/IF(Source!BA165&lt;&gt;0,Source!BA165,1)*Source!I165),2)+ROUND((Source!CR165/IF(Source!BB165&lt;&gt;0,Source!BB165,1)*Source!I165),2)+ROUND((Source!CQ165/IF(Source!BC165&lt;&gt;0,Source!BC165,1)*Source!I165),2)+((Source!DN165/100)*ROUND((Source!CT165/IF(Source!BA165&lt;&gt;0,Source!BA165,1)*Source!I165),2))+((Source!DO165/100)*ROUND((Source!CT165/IF(Source!BA165&lt;&gt;0,Source!BA165,1)*Source!I165),2))+(ROUND((Source!CS165/IF(Source!BS165&lt;&gt;0,Source!BS165,1)*Source!I165),2)*1.75)),0),2)</f>
        <v>0</v>
      </c>
      <c r="Q405">
        <f>ROUND(IF(Source!BI165=3,(ROUND((Source!CT165/IF(Source!BA165&lt;&gt;0,Source!BA165,1)*Source!I165),2)+ROUND((Source!CR165/IF(Source!BB165&lt;&gt;0,Source!BB165,1)*Source!I165),2)+ROUND((Source!CQ165/IF(Source!BC165&lt;&gt;0,Source!BC165,1)*Source!I165),2)+((Source!DN165/100)*ROUND((Source!CT165/IF(Source!BA165&lt;&gt;0,Source!BA165,1)*Source!I165),2))+((Source!DO165/100)*ROUND((Source!CT165/IF(Source!BA165&lt;&gt;0,Source!BA165,1)*Source!I165),2))+(ROUND((Source!CS165/IF(Source!BS165&lt;&gt;0,Source!BS165,1)*Source!I165),2)*1.75)),0),2)</f>
        <v>0</v>
      </c>
      <c r="R405">
        <f>ROUND(IF(Source!BI165=4,(ROUND((Source!CT165/IF(Source!BA165&lt;&gt;0,Source!BA165,1)*Source!I165),2)+ROUND((Source!CR165/IF(Source!BB165&lt;&gt;0,Source!BB165,1)*Source!I165),2)+ROUND((Source!CQ165/IF(Source!BC165&lt;&gt;0,Source!BC165,1)*Source!I165),2)+((Source!DN165/100)*ROUND((Source!CT165/IF(Source!BA165&lt;&gt;0,Source!BA165,1)*Source!I165),2))+((Source!DO165/100)*ROUND((Source!CT165/IF(Source!BA165&lt;&gt;0,Source!BA165,1)*Source!I165),2))+(ROUND((Source!CS165/IF(Source!BS165&lt;&gt;0,Source!BS165,1)*Source!I165),2)*1.75)),0),2)</f>
        <v>0</v>
      </c>
      <c r="U405">
        <f>IF(Source!BI165=1,Source!O165+Source!X165+Source!Y165+Source!R165*167/100,0)</f>
        <v>542.96</v>
      </c>
      <c r="V405">
        <f>IF(Source!BI165=2,Source!O165+Source!X165+Source!Y165+Source!R165*167/100,0)</f>
        <v>0</v>
      </c>
      <c r="W405">
        <f>IF(Source!BI165=3,Source!O165+Source!X165+Source!Y165+Source!R165*167/100,0)</f>
        <v>0</v>
      </c>
      <c r="X405">
        <f>IF(Source!BI165=4,Source!O165+Source!X165+Source!Y165+Source!R165*167/100,0)</f>
        <v>0</v>
      </c>
    </row>
    <row r="406" spans="1:25" ht="72">
      <c r="A406" s="26" t="str">
        <f>Source!E166</f>
        <v>54</v>
      </c>
      <c r="B406" s="26" t="str">
        <f>Source!F166</f>
        <v>15.1-35-1</v>
      </c>
      <c r="C406" s="9" t="str">
        <f>Source!G166</f>
        <v>ПЕРЕВОЗКА ГРУНТА ИЗ-ПОД ЗДАНИЙ И КОММУНИКАЦИЙ НА РАССТОЯНИЕ 35 КМ АВТОСАМОСВАЛАМИ ГРУЗОПОДЪЕМНОСТЬЮ ДО 16Т, ПЕРЕВОЗКА ДО 35 КМ</v>
      </c>
      <c r="D406" s="27" t="str">
        <f>Source!H166</f>
        <v>м3</v>
      </c>
      <c r="E406" s="8">
        <f>ROUND(Source!I166,6)</f>
        <v>1.9</v>
      </c>
      <c r="F406" s="8"/>
      <c r="G406" s="8"/>
      <c r="H406" s="8"/>
      <c r="I406" s="8"/>
      <c r="J406" s="8"/>
      <c r="K406" s="8"/>
      <c r="Y406">
        <v>55</v>
      </c>
    </row>
    <row r="407" spans="1:11" ht="12.75">
      <c r="A407" s="30"/>
      <c r="B407" s="30"/>
      <c r="C407" s="30" t="s">
        <v>645</v>
      </c>
      <c r="D407" s="30"/>
      <c r="E407" s="30"/>
      <c r="F407" s="32">
        <f>Source!AM166</f>
        <v>87.02</v>
      </c>
      <c r="G407" s="31">
        <f>Source!DE166</f>
      </c>
      <c r="H407" s="30">
        <f>Source!AV166</f>
        <v>1</v>
      </c>
      <c r="I407" s="32">
        <f>ROUND((Source!CR166/IF(Source!BB166&lt;&gt;0,Source!BB166,1)*Source!I166),2)</f>
        <v>165.34</v>
      </c>
      <c r="J407" s="30">
        <f>Source!BB166</f>
        <v>5.38</v>
      </c>
      <c r="K407" s="32"/>
    </row>
    <row r="408" spans="9:24" ht="12.75">
      <c r="I408" s="33">
        <f>ROUND((Source!CT166/IF(Source!BA166&lt;&gt;0,Source!BA166,1)*Source!I166),2)+ROUND((Source!CR166/IF(Source!BB166&lt;&gt;0,Source!BB166,1)*Source!I166),2)+ROUND((Source!CQ166/IF(Source!BC166&lt;&gt;0,Source!BC166,1)*Source!I166),2)</f>
        <v>165.34</v>
      </c>
      <c r="J408" s="34"/>
      <c r="K408" s="33"/>
      <c r="L408">
        <f>ROUND((Source!CT166/IF(Source!BA166&lt;&gt;0,Source!BA166,1)*Source!I166),2)</f>
        <v>0</v>
      </c>
      <c r="M408" s="12">
        <f>I408</f>
        <v>165.34</v>
      </c>
      <c r="N408" s="12">
        <f>K408</f>
        <v>0</v>
      </c>
      <c r="O408">
        <f>ROUND(IF(Source!BI166=1,(ROUND((Source!CT166/IF(Source!BA166&lt;&gt;0,Source!BA166,1)*Source!I166),2)+ROUND((Source!CR166/IF(Source!BB166&lt;&gt;0,Source!BB166,1)*Source!I166),2)+ROUND((Source!CQ166/IF(Source!BC166&lt;&gt;0,Source!BC166,1)*Source!I166),2)+((Source!DN166/100)*ROUND((Source!CT166/IF(Source!BA166&lt;&gt;0,Source!BA166,1)*Source!I166),2))+((Source!DO166/100)*ROUND((Source!CT166/IF(Source!BA166&lt;&gt;0,Source!BA166,1)*Source!I166),2))+(ROUND((Source!CS166/IF(Source!BS166&lt;&gt;0,Source!BS166,1)*Source!I166),2)*1.75)),0),2)</f>
        <v>0</v>
      </c>
      <c r="P408">
        <f>ROUND(IF(Source!BI166=2,(ROUND((Source!CT166/IF(Source!BA166&lt;&gt;0,Source!BA166,1)*Source!I166),2)+ROUND((Source!CR166/IF(Source!BB166&lt;&gt;0,Source!BB166,1)*Source!I166),2)+ROUND((Source!CQ166/IF(Source!BC166&lt;&gt;0,Source!BC166,1)*Source!I166),2)+((Source!DN166/100)*ROUND((Source!CT166/IF(Source!BA166&lt;&gt;0,Source!BA166,1)*Source!I166),2))+((Source!DO166/100)*ROUND((Source!CT166/IF(Source!BA166&lt;&gt;0,Source!BA166,1)*Source!I166),2))+(ROUND((Source!CS166/IF(Source!BS166&lt;&gt;0,Source!BS166,1)*Source!I166),2)*1.75)),0),2)</f>
        <v>0</v>
      </c>
      <c r="Q408">
        <f>ROUND(IF(Source!BI166=3,(ROUND((Source!CT166/IF(Source!BA166&lt;&gt;0,Source!BA166,1)*Source!I166),2)+ROUND((Source!CR166/IF(Source!BB166&lt;&gt;0,Source!BB166,1)*Source!I166),2)+ROUND((Source!CQ166/IF(Source!BC166&lt;&gt;0,Source!BC166,1)*Source!I166),2)+((Source!DN166/100)*ROUND((Source!CT166/IF(Source!BA166&lt;&gt;0,Source!BA166,1)*Source!I166),2))+((Source!DO166/100)*ROUND((Source!CT166/IF(Source!BA166&lt;&gt;0,Source!BA166,1)*Source!I166),2))+(ROUND((Source!CS166/IF(Source!BS166&lt;&gt;0,Source!BS166,1)*Source!I166),2)*1.75)),0),2)</f>
        <v>0</v>
      </c>
      <c r="R408">
        <f>ROUND(IF(Source!BI166=4,(ROUND((Source!CT166/IF(Source!BA166&lt;&gt;0,Source!BA166,1)*Source!I166),2)+ROUND((Source!CR166/IF(Source!BB166&lt;&gt;0,Source!BB166,1)*Source!I166),2)+ROUND((Source!CQ166/IF(Source!BC166&lt;&gt;0,Source!BC166,1)*Source!I166),2)+((Source!DN166/100)*ROUND((Source!CT166/IF(Source!BA166&lt;&gt;0,Source!BA166,1)*Source!I166),2))+((Source!DO166/100)*ROUND((Source!CT166/IF(Source!BA166&lt;&gt;0,Source!BA166,1)*Source!I166),2))+(ROUND((Source!CS166/IF(Source!BS166&lt;&gt;0,Source!BS166,1)*Source!I166),2)*1.75)),0),2)</f>
        <v>165.34</v>
      </c>
      <c r="U408">
        <f>IF(Source!BI166=1,Source!O166+Source!X166+Source!Y166+Source!R166*167/100,0)</f>
        <v>0</v>
      </c>
      <c r="V408">
        <f>IF(Source!BI166=2,Source!O166+Source!X166+Source!Y166+Source!R166*167/100,0)</f>
        <v>0</v>
      </c>
      <c r="W408">
        <f>IF(Source!BI166=3,Source!O166+Source!X166+Source!Y166+Source!R166*167/100,0)</f>
        <v>0</v>
      </c>
      <c r="X408">
        <f>IF(Source!BI166=4,Source!O166+Source!X166+Source!Y166+Source!R166*167/100,0)</f>
        <v>889.52</v>
      </c>
    </row>
    <row r="409" spans="1:25" ht="72">
      <c r="A409" s="26" t="str">
        <f>Source!E167</f>
        <v>55</v>
      </c>
      <c r="B409" s="26" t="str">
        <f>Source!F167</f>
        <v>15.1-0-5</v>
      </c>
      <c r="C409" s="9" t="str">
        <f>Source!G167</f>
        <v>РАЗМЕЩЕНИЕ ГРУНТОВ, ПОЛУЧЕННЫХ В РЕЗУЛЬТАТЕ ПРОИЗВОДСТВА ЗЕМЛЯНЫХ РАБОТ, НЕ ИСПОЛЬЗУЕМЫХ ДЛЯ ОБРАТНОЙ ЗАСЫПКИ: ГРУНТЫ ЭКОЛОГИЧЕСКИ ЧИСТЫЕ</v>
      </c>
      <c r="D409" s="27" t="str">
        <f>Source!H167</f>
        <v>м3</v>
      </c>
      <c r="E409" s="8">
        <f>ROUND(Source!I167,6)</f>
        <v>1.9</v>
      </c>
      <c r="F409" s="8"/>
      <c r="G409" s="8"/>
      <c r="H409" s="8"/>
      <c r="I409" s="8"/>
      <c r="J409" s="8"/>
      <c r="K409" s="8"/>
      <c r="Y409">
        <v>56</v>
      </c>
    </row>
    <row r="410" spans="1:11" ht="12.75">
      <c r="A410" s="30"/>
      <c r="B410" s="30"/>
      <c r="C410" s="30" t="s">
        <v>645</v>
      </c>
      <c r="D410" s="30"/>
      <c r="E410" s="30"/>
      <c r="F410" s="32">
        <f>Source!AM167</f>
        <v>96.8</v>
      </c>
      <c r="G410" s="31">
        <f>Source!DE167</f>
      </c>
      <c r="H410" s="30">
        <f>Source!AV167</f>
        <v>1</v>
      </c>
      <c r="I410" s="32">
        <f>ROUND((Source!CR167/IF(Source!BB167&lt;&gt;0,Source!BB167,1)*Source!I167),2)</f>
        <v>183.92</v>
      </c>
      <c r="J410" s="30">
        <f>Source!BB167</f>
        <v>0.77</v>
      </c>
      <c r="K410" s="32"/>
    </row>
    <row r="411" spans="9:24" ht="12.75">
      <c r="I411" s="33">
        <f>ROUND((Source!CT167/IF(Source!BA167&lt;&gt;0,Source!BA167,1)*Source!I167),2)+ROUND((Source!CR167/IF(Source!BB167&lt;&gt;0,Source!BB167,1)*Source!I167),2)+ROUND((Source!CQ167/IF(Source!BC167&lt;&gt;0,Source!BC167,1)*Source!I167),2)</f>
        <v>183.92</v>
      </c>
      <c r="J411" s="34"/>
      <c r="K411" s="33"/>
      <c r="L411">
        <f>ROUND((Source!CT167/IF(Source!BA167&lt;&gt;0,Source!BA167,1)*Source!I167),2)</f>
        <v>0</v>
      </c>
      <c r="M411" s="12">
        <f>I411</f>
        <v>183.92</v>
      </c>
      <c r="N411" s="12">
        <f>K411</f>
        <v>0</v>
      </c>
      <c r="O411">
        <f>ROUND(IF(Source!BI167=1,(ROUND((Source!CT167/IF(Source!BA167&lt;&gt;0,Source!BA167,1)*Source!I167),2)+ROUND((Source!CR167/IF(Source!BB167&lt;&gt;0,Source!BB167,1)*Source!I167),2)+ROUND((Source!CQ167/IF(Source!BC167&lt;&gt;0,Source!BC167,1)*Source!I167),2)+((Source!DN167/100)*ROUND((Source!CT167/IF(Source!BA167&lt;&gt;0,Source!BA167,1)*Source!I167),2))+((Source!DO167/100)*ROUND((Source!CT167/IF(Source!BA167&lt;&gt;0,Source!BA167,1)*Source!I167),2))+(ROUND((Source!CS167/IF(Source!BS167&lt;&gt;0,Source!BS167,1)*Source!I167),2)*1.75)),0),2)</f>
        <v>0</v>
      </c>
      <c r="P411">
        <f>ROUND(IF(Source!BI167=2,(ROUND((Source!CT167/IF(Source!BA167&lt;&gt;0,Source!BA167,1)*Source!I167),2)+ROUND((Source!CR167/IF(Source!BB167&lt;&gt;0,Source!BB167,1)*Source!I167),2)+ROUND((Source!CQ167/IF(Source!BC167&lt;&gt;0,Source!BC167,1)*Source!I167),2)+((Source!DN167/100)*ROUND((Source!CT167/IF(Source!BA167&lt;&gt;0,Source!BA167,1)*Source!I167),2))+((Source!DO167/100)*ROUND((Source!CT167/IF(Source!BA167&lt;&gt;0,Source!BA167,1)*Source!I167),2))+(ROUND((Source!CS167/IF(Source!BS167&lt;&gt;0,Source!BS167,1)*Source!I167),2)*1.75)),0),2)</f>
        <v>0</v>
      </c>
      <c r="Q411">
        <f>ROUND(IF(Source!BI167=3,(ROUND((Source!CT167/IF(Source!BA167&lt;&gt;0,Source!BA167,1)*Source!I167),2)+ROUND((Source!CR167/IF(Source!BB167&lt;&gt;0,Source!BB167,1)*Source!I167),2)+ROUND((Source!CQ167/IF(Source!BC167&lt;&gt;0,Source!BC167,1)*Source!I167),2)+((Source!DN167/100)*ROUND((Source!CT167/IF(Source!BA167&lt;&gt;0,Source!BA167,1)*Source!I167),2))+((Source!DO167/100)*ROUND((Source!CT167/IF(Source!BA167&lt;&gt;0,Source!BA167,1)*Source!I167),2))+(ROUND((Source!CS167/IF(Source!BS167&lt;&gt;0,Source!BS167,1)*Source!I167),2)*1.75)),0),2)</f>
        <v>0</v>
      </c>
      <c r="R411">
        <f>ROUND(IF(Source!BI167=4,(ROUND((Source!CT167/IF(Source!BA167&lt;&gt;0,Source!BA167,1)*Source!I167),2)+ROUND((Source!CR167/IF(Source!BB167&lt;&gt;0,Source!BB167,1)*Source!I167),2)+ROUND((Source!CQ167/IF(Source!BC167&lt;&gt;0,Source!BC167,1)*Source!I167),2)+((Source!DN167/100)*ROUND((Source!CT167/IF(Source!BA167&lt;&gt;0,Source!BA167,1)*Source!I167),2))+((Source!DO167/100)*ROUND((Source!CT167/IF(Source!BA167&lt;&gt;0,Source!BA167,1)*Source!I167),2))+(ROUND((Source!CS167/IF(Source!BS167&lt;&gt;0,Source!BS167,1)*Source!I167),2)*1.75)),0),2)</f>
        <v>183.92</v>
      </c>
      <c r="U411">
        <f>IF(Source!BI167=1,Source!O167+Source!X167+Source!Y167+Source!R167*167/100,0)</f>
        <v>0</v>
      </c>
      <c r="V411">
        <f>IF(Source!BI167=2,Source!O167+Source!X167+Source!Y167+Source!R167*167/100,0)</f>
        <v>0</v>
      </c>
      <c r="W411">
        <f>IF(Source!BI167=3,Source!O167+Source!X167+Source!Y167+Source!R167*167/100,0)</f>
        <v>0</v>
      </c>
      <c r="X411">
        <f>IF(Source!BI167=4,Source!O167+Source!X167+Source!Y167+Source!R167*167/100,0)</f>
        <v>141.62</v>
      </c>
    </row>
    <row r="412" spans="1:25" ht="36">
      <c r="A412" s="26" t="str">
        <f>Source!E168</f>
        <v>56</v>
      </c>
      <c r="B412" s="26" t="str">
        <f>Source!F168</f>
        <v>6.68-13-1</v>
      </c>
      <c r="C412" s="9" t="str">
        <f>Source!G168</f>
        <v>МЕХАНИЗИРОВАННАЯ ПОГРУЗКА СТРОИТЕЛЬНОГО МУСОРА В АВТОМОБИЛИ-САМОСВАЛЫ</v>
      </c>
      <c r="D412" s="27" t="str">
        <f>Source!H168</f>
        <v>т</v>
      </c>
      <c r="E412" s="8">
        <f>ROUND(Source!I168,6)</f>
        <v>2.892</v>
      </c>
      <c r="F412" s="8"/>
      <c r="G412" s="8"/>
      <c r="H412" s="8"/>
      <c r="I412" s="8"/>
      <c r="J412" s="8"/>
      <c r="K412" s="8"/>
      <c r="Y412">
        <v>57</v>
      </c>
    </row>
    <row r="413" spans="1:11" ht="12.75">
      <c r="A413" s="8"/>
      <c r="B413" s="8"/>
      <c r="C413" s="8" t="s">
        <v>645</v>
      </c>
      <c r="D413" s="8"/>
      <c r="E413" s="8"/>
      <c r="F413" s="11">
        <f>Source!AM168</f>
        <v>8.86</v>
      </c>
      <c r="G413" s="28">
        <f>Source!DE168</f>
      </c>
      <c r="H413" s="8">
        <f>Source!AV168</f>
        <v>1.047</v>
      </c>
      <c r="I413" s="11">
        <f>ROUND((Source!CR168/IF(Source!BB168&lt;&gt;0,Source!BB168,1)*Source!I168),2)</f>
        <v>26.83</v>
      </c>
      <c r="J413" s="8">
        <f>Source!BB168</f>
        <v>6.48</v>
      </c>
      <c r="K413" s="11"/>
    </row>
    <row r="414" spans="1:12" ht="12.75">
      <c r="A414" s="8"/>
      <c r="B414" s="8"/>
      <c r="C414" s="8" t="s">
        <v>646</v>
      </c>
      <c r="D414" s="8"/>
      <c r="E414" s="8"/>
      <c r="F414" s="11">
        <f>Source!AN168</f>
        <v>1.48</v>
      </c>
      <c r="G414" s="28">
        <f>Source!DF168</f>
      </c>
      <c r="H414" s="8">
        <f>Source!AV168</f>
        <v>1.047</v>
      </c>
      <c r="I414" s="29" t="str">
        <f>CONCATENATE("(",TEXT(+ROUND((Source!CS168/IF(J414&lt;&gt;0,J414,1)*Source!I168),2),"0,00"),")")</f>
        <v>(4,48)</v>
      </c>
      <c r="J414" s="8">
        <f>Source!BS168</f>
        <v>13.09</v>
      </c>
      <c r="K414" s="29"/>
      <c r="L414">
        <f>ROUND(IF(J414&lt;&gt;0,Source!R168/J414,Source!R168),2)</f>
        <v>4.48</v>
      </c>
    </row>
    <row r="415" spans="1:11" ht="12.75">
      <c r="A415" s="30"/>
      <c r="B415" s="30"/>
      <c r="C415" s="30" t="s">
        <v>650</v>
      </c>
      <c r="D415" s="30" t="s">
        <v>648</v>
      </c>
      <c r="E415" s="30">
        <v>175</v>
      </c>
      <c r="F415" s="30"/>
      <c r="G415" s="30"/>
      <c r="H415" s="30"/>
      <c r="I415" s="32">
        <f>ROUND(ROUND((Source!CS168/IF(Source!BS168&lt;&gt;0,Source!BS168,1)*Source!I168),2)*1.75,2)</f>
        <v>7.84</v>
      </c>
      <c r="J415" s="30">
        <v>167</v>
      </c>
      <c r="K415" s="32"/>
    </row>
    <row r="416" spans="9:24" ht="12.75">
      <c r="I416" s="33">
        <f>ROUND((Source!CT168/IF(Source!BA168&lt;&gt;0,Source!BA168,1)*Source!I168),2)+ROUND((Source!CR168/IF(Source!BB168&lt;&gt;0,Source!BB168,1)*Source!I168),2)+ROUND((Source!CQ168/IF(Source!BC168&lt;&gt;0,Source!BC168,1)*Source!I168),2)+SUM(I415:I415)</f>
        <v>34.67</v>
      </c>
      <c r="J416" s="34"/>
      <c r="K416" s="33"/>
      <c r="L416">
        <f>ROUND((Source!CT168/IF(Source!BA168&lt;&gt;0,Source!BA168,1)*Source!I168),2)</f>
        <v>0</v>
      </c>
      <c r="M416" s="12">
        <f>I416</f>
        <v>34.67</v>
      </c>
      <c r="N416" s="12">
        <f>K416</f>
        <v>0</v>
      </c>
      <c r="O416">
        <f>ROUND(IF(Source!BI168=1,(ROUND((Source!CT168/IF(Source!BA168&lt;&gt;0,Source!BA168,1)*Source!I168),2)+ROUND((Source!CR168/IF(Source!BB168&lt;&gt;0,Source!BB168,1)*Source!I168),2)+ROUND((Source!CQ168/IF(Source!BC168&lt;&gt;0,Source!BC168,1)*Source!I168),2)+((Source!DN168/100)*ROUND((Source!CT168/IF(Source!BA168&lt;&gt;0,Source!BA168,1)*Source!I168),2))+((Source!DO168/100)*ROUND((Source!CT168/IF(Source!BA168&lt;&gt;0,Source!BA168,1)*Source!I168),2))+(ROUND((Source!CS168/IF(Source!BS168&lt;&gt;0,Source!BS168,1)*Source!I168),2)*1.75)),0),2)</f>
        <v>34.67</v>
      </c>
      <c r="P416">
        <f>ROUND(IF(Source!BI168=2,(ROUND((Source!CT168/IF(Source!BA168&lt;&gt;0,Source!BA168,1)*Source!I168),2)+ROUND((Source!CR168/IF(Source!BB168&lt;&gt;0,Source!BB168,1)*Source!I168),2)+ROUND((Source!CQ168/IF(Source!BC168&lt;&gt;0,Source!BC168,1)*Source!I168),2)+((Source!DN168/100)*ROUND((Source!CT168/IF(Source!BA168&lt;&gt;0,Source!BA168,1)*Source!I168),2))+((Source!DO168/100)*ROUND((Source!CT168/IF(Source!BA168&lt;&gt;0,Source!BA168,1)*Source!I168),2))+(ROUND((Source!CS168/IF(Source!BS168&lt;&gt;0,Source!BS168,1)*Source!I168),2)*1.75)),0),2)</f>
        <v>0</v>
      </c>
      <c r="Q416">
        <f>ROUND(IF(Source!BI168=3,(ROUND((Source!CT168/IF(Source!BA168&lt;&gt;0,Source!BA168,1)*Source!I168),2)+ROUND((Source!CR168/IF(Source!BB168&lt;&gt;0,Source!BB168,1)*Source!I168),2)+ROUND((Source!CQ168/IF(Source!BC168&lt;&gt;0,Source!BC168,1)*Source!I168),2)+((Source!DN168/100)*ROUND((Source!CT168/IF(Source!BA168&lt;&gt;0,Source!BA168,1)*Source!I168),2))+((Source!DO168/100)*ROUND((Source!CT168/IF(Source!BA168&lt;&gt;0,Source!BA168,1)*Source!I168),2))+(ROUND((Source!CS168/IF(Source!BS168&lt;&gt;0,Source!BS168,1)*Source!I168),2)*1.75)),0),2)</f>
        <v>0</v>
      </c>
      <c r="R416">
        <f>ROUND(IF(Source!BI168=4,(ROUND((Source!CT168/IF(Source!BA168&lt;&gt;0,Source!BA168,1)*Source!I168),2)+ROUND((Source!CR168/IF(Source!BB168&lt;&gt;0,Source!BB168,1)*Source!I168),2)+ROUND((Source!CQ168/IF(Source!BC168&lt;&gt;0,Source!BC168,1)*Source!I168),2)+((Source!DN168/100)*ROUND((Source!CT168/IF(Source!BA168&lt;&gt;0,Source!BA168,1)*Source!I168),2))+((Source!DO168/100)*ROUND((Source!CT168/IF(Source!BA168&lt;&gt;0,Source!BA168,1)*Source!I168),2))+(ROUND((Source!CS168/IF(Source!BS168&lt;&gt;0,Source!BS168,1)*Source!I168),2)*1.75)),0),2)</f>
        <v>0</v>
      </c>
      <c r="U416">
        <f>IF(Source!BI168=1,Source!O168+Source!X168+Source!Y168+Source!R168*167/100,0)</f>
        <v>271.80219999999997</v>
      </c>
      <c r="V416">
        <f>IF(Source!BI168=2,Source!O168+Source!X168+Source!Y168+Source!R168*167/100,0)</f>
        <v>0</v>
      </c>
      <c r="W416">
        <f>IF(Source!BI168=3,Source!O168+Source!X168+Source!Y168+Source!R168*167/100,0)</f>
        <v>0</v>
      </c>
      <c r="X416">
        <f>IF(Source!BI168=4,Source!O168+Source!X168+Source!Y168+Source!R168*167/100,0)</f>
        <v>0</v>
      </c>
    </row>
    <row r="417" spans="1:25" ht="60">
      <c r="A417" s="26" t="str">
        <f>Source!E169</f>
        <v>57</v>
      </c>
      <c r="B417" s="26" t="str">
        <f>Source!F169</f>
        <v>15.1-35-5</v>
      </c>
      <c r="C417" s="9" t="str">
        <f>Source!G169</f>
        <v>ПЕРЕВОЗКА СТРОИТЕЛЬНОГО МУСОРА НА РАССТОЯНИЕ 35 КМ АВТОСАМОСВАЛАМИ ГРУЗОПОДЪЕМНОСТЬЮ ДО 16 Т, ПЕРЕВОЗКА ДО 35 КМ</v>
      </c>
      <c r="D417" s="27" t="str">
        <f>Source!H169</f>
        <v>т</v>
      </c>
      <c r="E417" s="8">
        <f>ROUND(Source!I169,6)</f>
        <v>2.892</v>
      </c>
      <c r="F417" s="8"/>
      <c r="G417" s="8"/>
      <c r="H417" s="8"/>
      <c r="I417" s="8"/>
      <c r="J417" s="8"/>
      <c r="K417" s="8"/>
      <c r="Y417">
        <v>58</v>
      </c>
    </row>
    <row r="418" spans="1:11" ht="12.75">
      <c r="A418" s="30"/>
      <c r="B418" s="30"/>
      <c r="C418" s="30" t="s">
        <v>645</v>
      </c>
      <c r="D418" s="30"/>
      <c r="E418" s="30"/>
      <c r="F418" s="32">
        <f>Source!AM169</f>
        <v>71.32</v>
      </c>
      <c r="G418" s="31">
        <f>Source!DE169</f>
      </c>
      <c r="H418" s="30">
        <f>Source!AV169</f>
        <v>1</v>
      </c>
      <c r="I418" s="32">
        <f>ROUND((Source!CR169/IF(Source!BB169&lt;&gt;0,Source!BB169,1)*Source!I169),2)</f>
        <v>206.26</v>
      </c>
      <c r="J418" s="30">
        <f>Source!BB169</f>
        <v>4.45</v>
      </c>
      <c r="K418" s="32"/>
    </row>
    <row r="419" spans="9:24" ht="12.75">
      <c r="I419" s="33">
        <f>ROUND((Source!CT169/IF(Source!BA169&lt;&gt;0,Source!BA169,1)*Source!I169),2)+ROUND((Source!CR169/IF(Source!BB169&lt;&gt;0,Source!BB169,1)*Source!I169),2)+ROUND((Source!CQ169/IF(Source!BC169&lt;&gt;0,Source!BC169,1)*Source!I169),2)</f>
        <v>206.26</v>
      </c>
      <c r="J419" s="34"/>
      <c r="K419" s="33"/>
      <c r="L419">
        <f>ROUND((Source!CT169/IF(Source!BA169&lt;&gt;0,Source!BA169,1)*Source!I169),2)</f>
        <v>0</v>
      </c>
      <c r="M419" s="12">
        <f>I419</f>
        <v>206.26</v>
      </c>
      <c r="N419" s="12">
        <f>K419</f>
        <v>0</v>
      </c>
      <c r="O419">
        <f>ROUND(IF(Source!BI169=1,(ROUND((Source!CT169/IF(Source!BA169&lt;&gt;0,Source!BA169,1)*Source!I169),2)+ROUND((Source!CR169/IF(Source!BB169&lt;&gt;0,Source!BB169,1)*Source!I169),2)+ROUND((Source!CQ169/IF(Source!BC169&lt;&gt;0,Source!BC169,1)*Source!I169),2)+((Source!DN169/100)*ROUND((Source!CT169/IF(Source!BA169&lt;&gt;0,Source!BA169,1)*Source!I169),2))+((Source!DO169/100)*ROUND((Source!CT169/IF(Source!BA169&lt;&gt;0,Source!BA169,1)*Source!I169),2))+(ROUND((Source!CS169/IF(Source!BS169&lt;&gt;0,Source!BS169,1)*Source!I169),2)*1.75)),0),2)</f>
        <v>0</v>
      </c>
      <c r="P419">
        <f>ROUND(IF(Source!BI169=2,(ROUND((Source!CT169/IF(Source!BA169&lt;&gt;0,Source!BA169,1)*Source!I169),2)+ROUND((Source!CR169/IF(Source!BB169&lt;&gt;0,Source!BB169,1)*Source!I169),2)+ROUND((Source!CQ169/IF(Source!BC169&lt;&gt;0,Source!BC169,1)*Source!I169),2)+((Source!DN169/100)*ROUND((Source!CT169/IF(Source!BA169&lt;&gt;0,Source!BA169,1)*Source!I169),2))+((Source!DO169/100)*ROUND((Source!CT169/IF(Source!BA169&lt;&gt;0,Source!BA169,1)*Source!I169),2))+(ROUND((Source!CS169/IF(Source!BS169&lt;&gt;0,Source!BS169,1)*Source!I169),2)*1.75)),0),2)</f>
        <v>0</v>
      </c>
      <c r="Q419">
        <f>ROUND(IF(Source!BI169=3,(ROUND((Source!CT169/IF(Source!BA169&lt;&gt;0,Source!BA169,1)*Source!I169),2)+ROUND((Source!CR169/IF(Source!BB169&lt;&gt;0,Source!BB169,1)*Source!I169),2)+ROUND((Source!CQ169/IF(Source!BC169&lt;&gt;0,Source!BC169,1)*Source!I169),2)+((Source!DN169/100)*ROUND((Source!CT169/IF(Source!BA169&lt;&gt;0,Source!BA169,1)*Source!I169),2))+((Source!DO169/100)*ROUND((Source!CT169/IF(Source!BA169&lt;&gt;0,Source!BA169,1)*Source!I169),2))+(ROUND((Source!CS169/IF(Source!BS169&lt;&gt;0,Source!BS169,1)*Source!I169),2)*1.75)),0),2)</f>
        <v>0</v>
      </c>
      <c r="R419">
        <f>ROUND(IF(Source!BI169=4,(ROUND((Source!CT169/IF(Source!BA169&lt;&gt;0,Source!BA169,1)*Source!I169),2)+ROUND((Source!CR169/IF(Source!BB169&lt;&gt;0,Source!BB169,1)*Source!I169),2)+ROUND((Source!CQ169/IF(Source!BC169&lt;&gt;0,Source!BC169,1)*Source!I169),2)+((Source!DN169/100)*ROUND((Source!CT169/IF(Source!BA169&lt;&gt;0,Source!BA169,1)*Source!I169),2))+((Source!DO169/100)*ROUND((Source!CT169/IF(Source!BA169&lt;&gt;0,Source!BA169,1)*Source!I169),2))+(ROUND((Source!CS169/IF(Source!BS169&lt;&gt;0,Source!BS169,1)*Source!I169),2)*1.75)),0),2)</f>
        <v>206.26</v>
      </c>
      <c r="U419">
        <f>IF(Source!BI169=1,Source!O169+Source!X169+Source!Y169+Source!R169*167/100,0)</f>
        <v>0</v>
      </c>
      <c r="V419">
        <f>IF(Source!BI169=2,Source!O169+Source!X169+Source!Y169+Source!R169*167/100,0)</f>
        <v>0</v>
      </c>
      <c r="W419">
        <f>IF(Source!BI169=3,Source!O169+Source!X169+Source!Y169+Source!R169*167/100,0)</f>
        <v>0</v>
      </c>
      <c r="X419">
        <f>IF(Source!BI169=4,Source!O169+Source!X169+Source!Y169+Source!R169*167/100,0)</f>
        <v>917.85</v>
      </c>
    </row>
    <row r="420" spans="1:25" ht="24">
      <c r="A420" s="26" t="str">
        <f>Source!E170</f>
        <v>58</v>
      </c>
      <c r="B420" s="26" t="str">
        <f>Source!F170</f>
        <v>15.1-0-1</v>
      </c>
      <c r="C420" s="9" t="str">
        <f>Source!G170</f>
        <v>СОДЕРЖАНИЕ СВАЛКИ ОТХОДОВ СТРОИТЕЛЬСТВА И СНОСА</v>
      </c>
      <c r="D420" s="27" t="str">
        <f>Source!H170</f>
        <v>т</v>
      </c>
      <c r="E420" s="8">
        <f>ROUND(Source!I170,6)</f>
        <v>2.892</v>
      </c>
      <c r="F420" s="8"/>
      <c r="G420" s="8"/>
      <c r="H420" s="8"/>
      <c r="I420" s="8"/>
      <c r="J420" s="8"/>
      <c r="K420" s="8"/>
      <c r="Y420">
        <v>59</v>
      </c>
    </row>
    <row r="421" spans="1:11" ht="12.75">
      <c r="A421" s="30"/>
      <c r="B421" s="30"/>
      <c r="C421" s="30" t="s">
        <v>645</v>
      </c>
      <c r="D421" s="30"/>
      <c r="E421" s="30"/>
      <c r="F421" s="32">
        <f>Source!AM170</f>
        <v>101</v>
      </c>
      <c r="G421" s="31">
        <f>Source!DE170</f>
      </c>
      <c r="H421" s="30">
        <f>Source!AV170</f>
        <v>1</v>
      </c>
      <c r="I421" s="32">
        <f>ROUND((Source!CR170/IF(Source!BB170&lt;&gt;0,Source!BB170,1)*Source!I170),2)</f>
        <v>292.09</v>
      </c>
      <c r="J421" s="30">
        <f>Source!BB170</f>
        <v>1.51</v>
      </c>
      <c r="K421" s="32"/>
    </row>
    <row r="422" spans="9:24" ht="12.75">
      <c r="I422" s="33">
        <f>ROUND((Source!CT170/IF(Source!BA170&lt;&gt;0,Source!BA170,1)*Source!I170),2)+ROUND((Source!CR170/IF(Source!BB170&lt;&gt;0,Source!BB170,1)*Source!I170),2)+ROUND((Source!CQ170/IF(Source!BC170&lt;&gt;0,Source!BC170,1)*Source!I170),2)</f>
        <v>292.09</v>
      </c>
      <c r="J422" s="34"/>
      <c r="K422" s="33"/>
      <c r="L422">
        <f>ROUND((Source!CT170/IF(Source!BA170&lt;&gt;0,Source!BA170,1)*Source!I170),2)</f>
        <v>0</v>
      </c>
      <c r="M422" s="12">
        <f>I422</f>
        <v>292.09</v>
      </c>
      <c r="N422" s="12">
        <f>K422</f>
        <v>0</v>
      </c>
      <c r="O422">
        <f>ROUND(IF(Source!BI170=1,(ROUND((Source!CT170/IF(Source!BA170&lt;&gt;0,Source!BA170,1)*Source!I170),2)+ROUND((Source!CR170/IF(Source!BB170&lt;&gt;0,Source!BB170,1)*Source!I170),2)+ROUND((Source!CQ170/IF(Source!BC170&lt;&gt;0,Source!BC170,1)*Source!I170),2)+((Source!DN170/100)*ROUND((Source!CT170/IF(Source!BA170&lt;&gt;0,Source!BA170,1)*Source!I170),2))+((Source!DO170/100)*ROUND((Source!CT170/IF(Source!BA170&lt;&gt;0,Source!BA170,1)*Source!I170),2))+(ROUND((Source!CS170/IF(Source!BS170&lt;&gt;0,Source!BS170,1)*Source!I170),2)*1.75)),0),2)</f>
        <v>0</v>
      </c>
      <c r="P422">
        <f>ROUND(IF(Source!BI170=2,(ROUND((Source!CT170/IF(Source!BA170&lt;&gt;0,Source!BA170,1)*Source!I170),2)+ROUND((Source!CR170/IF(Source!BB170&lt;&gt;0,Source!BB170,1)*Source!I170),2)+ROUND((Source!CQ170/IF(Source!BC170&lt;&gt;0,Source!BC170,1)*Source!I170),2)+((Source!DN170/100)*ROUND((Source!CT170/IF(Source!BA170&lt;&gt;0,Source!BA170,1)*Source!I170),2))+((Source!DO170/100)*ROUND((Source!CT170/IF(Source!BA170&lt;&gt;0,Source!BA170,1)*Source!I170),2))+(ROUND((Source!CS170/IF(Source!BS170&lt;&gt;0,Source!BS170,1)*Source!I170),2)*1.75)),0),2)</f>
        <v>0</v>
      </c>
      <c r="Q422">
        <f>ROUND(IF(Source!BI170=3,(ROUND((Source!CT170/IF(Source!BA170&lt;&gt;0,Source!BA170,1)*Source!I170),2)+ROUND((Source!CR170/IF(Source!BB170&lt;&gt;0,Source!BB170,1)*Source!I170),2)+ROUND((Source!CQ170/IF(Source!BC170&lt;&gt;0,Source!BC170,1)*Source!I170),2)+((Source!DN170/100)*ROUND((Source!CT170/IF(Source!BA170&lt;&gt;0,Source!BA170,1)*Source!I170),2))+((Source!DO170/100)*ROUND((Source!CT170/IF(Source!BA170&lt;&gt;0,Source!BA170,1)*Source!I170),2))+(ROUND((Source!CS170/IF(Source!BS170&lt;&gt;0,Source!BS170,1)*Source!I170),2)*1.75)),0),2)</f>
        <v>0</v>
      </c>
      <c r="R422">
        <f>ROUND(IF(Source!BI170=4,(ROUND((Source!CT170/IF(Source!BA170&lt;&gt;0,Source!BA170,1)*Source!I170),2)+ROUND((Source!CR170/IF(Source!BB170&lt;&gt;0,Source!BB170,1)*Source!I170),2)+ROUND((Source!CQ170/IF(Source!BC170&lt;&gt;0,Source!BC170,1)*Source!I170),2)+((Source!DN170/100)*ROUND((Source!CT170/IF(Source!BA170&lt;&gt;0,Source!BA170,1)*Source!I170),2))+((Source!DO170/100)*ROUND((Source!CT170/IF(Source!BA170&lt;&gt;0,Source!BA170,1)*Source!I170),2))+(ROUND((Source!CS170/IF(Source!BS170&lt;&gt;0,Source!BS170,1)*Source!I170),2)*1.75)),0),2)</f>
        <v>292.09</v>
      </c>
      <c r="U422">
        <f>IF(Source!BI170=1,Source!O170+Source!X170+Source!Y170+Source!R170*167/100,0)</f>
        <v>0</v>
      </c>
      <c r="V422">
        <f>IF(Source!BI170=2,Source!O170+Source!X170+Source!Y170+Source!R170*167/100,0)</f>
        <v>0</v>
      </c>
      <c r="W422">
        <f>IF(Source!BI170=3,Source!O170+Source!X170+Source!Y170+Source!R170*167/100,0)</f>
        <v>0</v>
      </c>
      <c r="X422">
        <f>IF(Source!BI170=4,Source!O170+Source!X170+Source!Y170+Source!R170*167/100,0)</f>
        <v>441.06</v>
      </c>
    </row>
    <row r="423" spans="1:25" ht="36">
      <c r="A423" s="26" t="str">
        <f>Source!E171</f>
        <v>59</v>
      </c>
      <c r="B423" s="26" t="s">
        <v>660</v>
      </c>
      <c r="C423" s="9" t="str">
        <f>Source!G171</f>
        <v>УСТРОЙСТВО ПОДСТИЛАЮЩИХ И ВЫРАВНИВАЮЩИХ СЛОЕВ ОСНОВАНИЙ ИЗ ПЕСКА</v>
      </c>
      <c r="D423" s="27" t="str">
        <f>Source!H171</f>
        <v>100 м3</v>
      </c>
      <c r="E423" s="8">
        <f>ROUND(Source!I171,6)</f>
        <v>0.001</v>
      </c>
      <c r="F423" s="8"/>
      <c r="G423" s="8"/>
      <c r="H423" s="8"/>
      <c r="I423" s="8"/>
      <c r="J423" s="8"/>
      <c r="K423" s="8"/>
      <c r="Y423">
        <v>60</v>
      </c>
    </row>
    <row r="424" spans="1:11" ht="12.75">
      <c r="A424" s="8"/>
      <c r="B424" s="8"/>
      <c r="C424" s="8" t="s">
        <v>644</v>
      </c>
      <c r="D424" s="8"/>
      <c r="E424" s="8"/>
      <c r="F424" s="11">
        <f>Source!AO171</f>
        <v>151.49</v>
      </c>
      <c r="G424" s="28" t="str">
        <f>Source!DG171</f>
        <v>)*1,15</v>
      </c>
      <c r="H424" s="8">
        <f>Source!AV171</f>
        <v>1.047</v>
      </c>
      <c r="I424" s="11">
        <f>ROUND((Source!CT171/IF(Source!BA171&lt;&gt;0,Source!BA171,1)*Source!I171),2)</f>
        <v>0.18</v>
      </c>
      <c r="J424" s="8">
        <f>Source!BA171</f>
        <v>13.09</v>
      </c>
      <c r="K424" s="11"/>
    </row>
    <row r="425" spans="1:11" ht="12.75">
      <c r="A425" s="8"/>
      <c r="B425" s="8"/>
      <c r="C425" s="8" t="s">
        <v>645</v>
      </c>
      <c r="D425" s="8"/>
      <c r="E425" s="8"/>
      <c r="F425" s="11">
        <f>Source!AM171</f>
        <v>676.47</v>
      </c>
      <c r="G425" s="28" t="str">
        <f>Source!DE171</f>
        <v>)*1,15</v>
      </c>
      <c r="H425" s="8">
        <f>Source!AV171</f>
        <v>1.047</v>
      </c>
      <c r="I425" s="11">
        <f>ROUND((Source!CR171/IF(Source!BB171&lt;&gt;0,Source!BB171,1)*Source!I171),2)</f>
        <v>0.81</v>
      </c>
      <c r="J425" s="8">
        <f>Source!BB171</f>
        <v>7.02</v>
      </c>
      <c r="K425" s="11"/>
    </row>
    <row r="426" spans="1:12" ht="12.75">
      <c r="A426" s="8"/>
      <c r="B426" s="8"/>
      <c r="C426" s="8" t="s">
        <v>646</v>
      </c>
      <c r="D426" s="8"/>
      <c r="E426" s="8"/>
      <c r="F426" s="11">
        <f>Source!AN171</f>
        <v>119.05</v>
      </c>
      <c r="G426" s="28" t="str">
        <f>Source!DF171</f>
        <v>)*1,15</v>
      </c>
      <c r="H426" s="8">
        <f>Source!AV171</f>
        <v>1.047</v>
      </c>
      <c r="I426" s="29" t="str">
        <f>CONCATENATE("(",TEXT(+ROUND((Source!CS171/IF(J426&lt;&gt;0,J426,1)*Source!I171),2),"0,00"),")")</f>
        <v>(0,14)</v>
      </c>
      <c r="J426" s="8">
        <f>Source!BS171</f>
        <v>13.09</v>
      </c>
      <c r="K426" s="29"/>
      <c r="L426">
        <f>ROUND(IF(J426&lt;&gt;0,Source!R171/J426,Source!R171),2)</f>
        <v>0.14</v>
      </c>
    </row>
    <row r="427" spans="1:11" ht="12.75">
      <c r="A427" s="8"/>
      <c r="B427" s="8"/>
      <c r="C427" s="8" t="s">
        <v>655</v>
      </c>
      <c r="D427" s="8"/>
      <c r="E427" s="8"/>
      <c r="F427" s="11">
        <f>Source!AL171</f>
        <v>35.35</v>
      </c>
      <c r="G427" s="8">
        <f>Source!DD171</f>
      </c>
      <c r="H427" s="8">
        <f>Source!AW171</f>
        <v>1.002</v>
      </c>
      <c r="I427" s="11">
        <f>ROUND((Source!CQ171/IF(Source!BC171&lt;&gt;0,Source!BC171,1)*Source!I171),2)</f>
        <v>0.04</v>
      </c>
      <c r="J427" s="8">
        <f>Source!BC171</f>
        <v>3.69</v>
      </c>
      <c r="K427" s="11"/>
    </row>
    <row r="428" spans="1:25" ht="24">
      <c r="A428" s="26" t="str">
        <f>Source!E172</f>
        <v>59,1</v>
      </c>
      <c r="B428" s="26" t="str">
        <f>Source!F172</f>
        <v>1.1-1-767</v>
      </c>
      <c r="C428" s="9" t="str">
        <f>Source!G172</f>
        <v>ПЕСОК ДЛЯ ДОРОЖНЫХ РАБОТ, РЯДОВОЙ</v>
      </c>
      <c r="D428" s="27" t="str">
        <f>Source!H172</f>
        <v>м3</v>
      </c>
      <c r="E428" s="8">
        <f>ROUND(Source!I172,6)</f>
        <v>0.158</v>
      </c>
      <c r="F428" s="11">
        <f>IF(Source!AL172=0,Source!AK172,Source!AL172)</f>
        <v>104.99</v>
      </c>
      <c r="G428" s="28">
        <f>Source!DD172</f>
      </c>
      <c r="H428" s="8">
        <f>Source!AW172</f>
        <v>1.002</v>
      </c>
      <c r="I428" s="11">
        <f>ROUND((Source!CR172/IF(Source!BB172&lt;&gt;0,Source!BB172,1)*Source!I172),2)+ROUND((Source!CQ172/IF(Source!BC172&lt;&gt;0,Source!BC172,1)*Source!I172),2)+ROUND((Source!CT172/IF(Source!BA172&lt;&gt;0,Source!BA172,1)*Source!I172),2)</f>
        <v>16.62</v>
      </c>
      <c r="J428" s="8">
        <f>Source!BC172</f>
        <v>6.31</v>
      </c>
      <c r="K428" s="11"/>
      <c r="O428">
        <f>IF(Source!BI172=1,(ROUND((Source!CR172/IF(Source!BB172&lt;&gt;0,Source!BB172,1)*Source!I172),2)+ROUND((Source!CQ172/IF(Source!BC172&lt;&gt;0,Source!BC172,1)*Source!I172),2)+ROUND((Source!CT172/IF(Source!BA172&lt;&gt;0,Source!BA172,1)*Source!I172),2)),0)</f>
        <v>16.62</v>
      </c>
      <c r="P428">
        <f>IF(Source!BI172=2,(ROUND((Source!CR172/IF(Source!BB172&lt;&gt;0,Source!BB172,1)*Source!I172),2)+ROUND((Source!CQ172/IF(Source!BC172&lt;&gt;0,Source!BC172,1)*Source!I172),2)+ROUND((Source!CT172/IF(Source!BA172&lt;&gt;0,Source!BA172,1)*Source!I172),2)),0)</f>
        <v>0</v>
      </c>
      <c r="Q428">
        <f>IF(Source!BI172=3,(ROUND((Source!CR172/IF(Source!BB172&lt;&gt;0,Source!BB172,1)*Source!I172),2)+ROUND((Source!CQ172/IF(Source!BC172&lt;&gt;0,Source!BC172,1)*Source!I172),2)+ROUND((Source!CT172/IF(Source!BA172&lt;&gt;0,Source!BA172,1)*Source!I172),2)),0)</f>
        <v>0</v>
      </c>
      <c r="R428">
        <f>IF(Source!BI172=4,(ROUND((Source!CR172/IF(Source!BB172&lt;&gt;0,Source!BB172,1)*Source!I172),2)+ROUND((Source!CQ172/IF(Source!BC172&lt;&gt;0,Source!BC172,1)*Source!I172),2)+ROUND((Source!CT172/IF(Source!BA172&lt;&gt;0,Source!BA172,1)*Source!I172),2)),0)</f>
        <v>0</v>
      </c>
      <c r="U428">
        <f>IF(Source!BI172=1,Source!O172+Source!X172+Source!Y172,0)</f>
        <v>104.88</v>
      </c>
      <c r="V428">
        <f>IF(Source!BI172=2,Source!O172+Source!X172+Source!Y172,0)</f>
        <v>0</v>
      </c>
      <c r="W428">
        <f>IF(Source!BI172=3,Source!O172+Source!X172+Source!Y172,0)</f>
        <v>0</v>
      </c>
      <c r="X428">
        <f>IF(Source!BI172=4,Source!O172+Source!X172+Source!Y172,0)</f>
        <v>0</v>
      </c>
      <c r="Y428">
        <v>61</v>
      </c>
    </row>
    <row r="429" spans="1:11" ht="12.75">
      <c r="A429" s="8"/>
      <c r="B429" s="8"/>
      <c r="C429" s="8" t="s">
        <v>647</v>
      </c>
      <c r="D429" s="8" t="s">
        <v>648</v>
      </c>
      <c r="E429" s="8">
        <f>Source!DN171</f>
        <v>161</v>
      </c>
      <c r="F429" s="8"/>
      <c r="G429" s="8"/>
      <c r="H429" s="8"/>
      <c r="I429" s="11">
        <f>ROUND((E429/100)*ROUND((Source!CT171/IF(Source!BA171&lt;&gt;0,Source!BA171,1)*Source!I171),2),2)</f>
        <v>0.29</v>
      </c>
      <c r="J429" s="8">
        <f>Source!AT171</f>
        <v>140</v>
      </c>
      <c r="K429" s="11"/>
    </row>
    <row r="430" spans="1:11" ht="12.75">
      <c r="A430" s="8"/>
      <c r="B430" s="8"/>
      <c r="C430" s="8" t="s">
        <v>649</v>
      </c>
      <c r="D430" s="8" t="s">
        <v>648</v>
      </c>
      <c r="E430" s="8">
        <f>Source!DO171</f>
        <v>107</v>
      </c>
      <c r="F430" s="8"/>
      <c r="G430" s="8"/>
      <c r="H430" s="8"/>
      <c r="I430" s="11">
        <f>ROUND((E430/100)*ROUND((Source!CT171/IF(Source!BA171&lt;&gt;0,Source!BA171,1)*Source!I171),2),2)</f>
        <v>0.19</v>
      </c>
      <c r="J430" s="8">
        <f>Source!AU171</f>
        <v>57</v>
      </c>
      <c r="K430" s="11"/>
    </row>
    <row r="431" spans="1:11" ht="12.75">
      <c r="A431" s="8"/>
      <c r="B431" s="8"/>
      <c r="C431" s="8" t="s">
        <v>650</v>
      </c>
      <c r="D431" s="8" t="s">
        <v>648</v>
      </c>
      <c r="E431" s="8">
        <v>175</v>
      </c>
      <c r="F431" s="8"/>
      <c r="G431" s="8"/>
      <c r="H431" s="8"/>
      <c r="I431" s="11">
        <f>ROUND(ROUND((Source!CS171/IF(Source!BS171&lt;&gt;0,Source!BS171,1)*Source!I171),2)*1.75,2)</f>
        <v>0.25</v>
      </c>
      <c r="J431" s="8">
        <v>167</v>
      </c>
      <c r="K431" s="11"/>
    </row>
    <row r="432" spans="1:11" ht="12.75">
      <c r="A432" s="30"/>
      <c r="B432" s="30"/>
      <c r="C432" s="30" t="s">
        <v>651</v>
      </c>
      <c r="D432" s="30" t="s">
        <v>652</v>
      </c>
      <c r="E432" s="30">
        <f>Source!AQ171</f>
        <v>14.4</v>
      </c>
      <c r="F432" s="30"/>
      <c r="G432" s="31" t="str">
        <f>Source!DI171</f>
        <v>)*1,15</v>
      </c>
      <c r="H432" s="30">
        <f>Source!AV171</f>
        <v>1.047</v>
      </c>
      <c r="I432" s="32">
        <f>ROUND(Source!U171,2)</f>
        <v>0.02</v>
      </c>
      <c r="J432" s="30"/>
      <c r="K432" s="30"/>
    </row>
    <row r="433" spans="9:24" ht="12.75">
      <c r="I433" s="33">
        <f>ROUND((Source!CT171/IF(Source!BA171&lt;&gt;0,Source!BA171,1)*Source!I171),2)+ROUND((Source!CR171/IF(Source!BB171&lt;&gt;0,Source!BB171,1)*Source!I171),2)+ROUND((Source!CQ171/IF(Source!BC171&lt;&gt;0,Source!BC171,1)*Source!I171),2)+SUM(I428:I431)</f>
        <v>18.380000000000003</v>
      </c>
      <c r="J433" s="34"/>
      <c r="K433" s="33"/>
      <c r="L433">
        <f>ROUND((Source!CT171/IF(Source!BA171&lt;&gt;0,Source!BA171,1)*Source!I171),2)</f>
        <v>0.18</v>
      </c>
      <c r="M433" s="12">
        <f>I433</f>
        <v>18.380000000000003</v>
      </c>
      <c r="N433" s="12">
        <f>K433</f>
        <v>0</v>
      </c>
      <c r="O433">
        <f>ROUND(IF(Source!BI171=1,(ROUND((Source!CT171/IF(Source!BA171&lt;&gt;0,Source!BA171,1)*Source!I171),2)+ROUND((Source!CR171/IF(Source!BB171&lt;&gt;0,Source!BB171,1)*Source!I171),2)+ROUND((Source!CQ171/IF(Source!BC171&lt;&gt;0,Source!BC171,1)*Source!I171),2)+((Source!DN171/100)*ROUND((Source!CT171/IF(Source!BA171&lt;&gt;0,Source!BA171,1)*Source!I171),2))+((Source!DO171/100)*ROUND((Source!CT171/IF(Source!BA171&lt;&gt;0,Source!BA171,1)*Source!I171),2))+(ROUND((Source!CS171/IF(Source!BS171&lt;&gt;0,Source!BS171,1)*Source!I171),2)*1.75)),0),2)</f>
        <v>1.76</v>
      </c>
      <c r="P433">
        <f>ROUND(IF(Source!BI171=2,(ROUND((Source!CT171/IF(Source!BA171&lt;&gt;0,Source!BA171,1)*Source!I171),2)+ROUND((Source!CR171/IF(Source!BB171&lt;&gt;0,Source!BB171,1)*Source!I171),2)+ROUND((Source!CQ171/IF(Source!BC171&lt;&gt;0,Source!BC171,1)*Source!I171),2)+((Source!DN171/100)*ROUND((Source!CT171/IF(Source!BA171&lt;&gt;0,Source!BA171,1)*Source!I171),2))+((Source!DO171/100)*ROUND((Source!CT171/IF(Source!BA171&lt;&gt;0,Source!BA171,1)*Source!I171),2))+(ROUND((Source!CS171/IF(Source!BS171&lt;&gt;0,Source!BS171,1)*Source!I171),2)*1.75)),0),2)</f>
        <v>0</v>
      </c>
      <c r="Q433">
        <f>ROUND(IF(Source!BI171=3,(ROUND((Source!CT171/IF(Source!BA171&lt;&gt;0,Source!BA171,1)*Source!I171),2)+ROUND((Source!CR171/IF(Source!BB171&lt;&gt;0,Source!BB171,1)*Source!I171),2)+ROUND((Source!CQ171/IF(Source!BC171&lt;&gt;0,Source!BC171,1)*Source!I171),2)+((Source!DN171/100)*ROUND((Source!CT171/IF(Source!BA171&lt;&gt;0,Source!BA171,1)*Source!I171),2))+((Source!DO171/100)*ROUND((Source!CT171/IF(Source!BA171&lt;&gt;0,Source!BA171,1)*Source!I171),2))+(ROUND((Source!CS171/IF(Source!BS171&lt;&gt;0,Source!BS171,1)*Source!I171),2)*1.75)),0),2)</f>
        <v>0</v>
      </c>
      <c r="R433">
        <f>ROUND(IF(Source!BI171=4,(ROUND((Source!CT171/IF(Source!BA171&lt;&gt;0,Source!BA171,1)*Source!I171),2)+ROUND((Source!CR171/IF(Source!BB171&lt;&gt;0,Source!BB171,1)*Source!I171),2)+ROUND((Source!CQ171/IF(Source!BC171&lt;&gt;0,Source!BC171,1)*Source!I171),2)+((Source!DN171/100)*ROUND((Source!CT171/IF(Source!BA171&lt;&gt;0,Source!BA171,1)*Source!I171),2))+((Source!DO171/100)*ROUND((Source!CT171/IF(Source!BA171&lt;&gt;0,Source!BA171,1)*Source!I171),2))+(ROUND((Source!CS171/IF(Source!BS171&lt;&gt;0,Source!BS171,1)*Source!I171),2)*1.75)),0),2)</f>
        <v>0</v>
      </c>
      <c r="U433">
        <f>IF(Source!BI171=1,Source!O171+Source!X171+Source!Y171+Source!R171*167/100,0)</f>
        <v>16.089599999999997</v>
      </c>
      <c r="V433">
        <f>IF(Source!BI171=2,Source!O171+Source!X171+Source!Y171+Source!R171*167/100,0)</f>
        <v>0</v>
      </c>
      <c r="W433">
        <f>IF(Source!BI171=3,Source!O171+Source!X171+Source!Y171+Source!R171*167/100,0)</f>
        <v>0</v>
      </c>
      <c r="X433">
        <f>IF(Source!BI171=4,Source!O171+Source!X171+Source!Y171+Source!R171*167/100,0)</f>
        <v>0</v>
      </c>
    </row>
    <row r="434" spans="1:25" ht="60">
      <c r="A434" s="26" t="str">
        <f>Source!E173</f>
        <v>60</v>
      </c>
      <c r="B434" s="26" t="s">
        <v>661</v>
      </c>
      <c r="C434" s="9" t="str">
        <f>Source!G173</f>
        <v>УСТРОЙСТВО ЦЕМЕНТОБЕТОННЫХ ОСНОВАНИЙ ГОРОДСКИХ ПРОЕЗДОВ ТОЛЩИНА СЛОЯ, СМ 16</v>
      </c>
      <c r="D434" s="27" t="str">
        <f>Source!H173</f>
        <v>1000 м2</v>
      </c>
      <c r="E434" s="8">
        <f>ROUND(Source!I173,6)</f>
        <v>0.0004</v>
      </c>
      <c r="F434" s="8"/>
      <c r="G434" s="8"/>
      <c r="H434" s="8"/>
      <c r="I434" s="8"/>
      <c r="J434" s="8"/>
      <c r="K434" s="8"/>
      <c r="Y434">
        <v>62</v>
      </c>
    </row>
    <row r="435" spans="1:11" ht="12.75">
      <c r="A435" s="8"/>
      <c r="B435" s="8"/>
      <c r="C435" s="8" t="s">
        <v>644</v>
      </c>
      <c r="D435" s="8"/>
      <c r="E435" s="8"/>
      <c r="F435" s="11">
        <f>Source!AO173</f>
        <v>3062.49</v>
      </c>
      <c r="G435" s="28" t="str">
        <f>Source!DG173</f>
        <v>)*1,15</v>
      </c>
      <c r="H435" s="8">
        <f>Source!AV173</f>
        <v>1.047</v>
      </c>
      <c r="I435" s="11">
        <f>ROUND((Source!CT173/IF(Source!BA173&lt;&gt;0,Source!BA173,1)*Source!I173),2)</f>
        <v>1.47</v>
      </c>
      <c r="J435" s="8">
        <f>Source!BA173</f>
        <v>13.09</v>
      </c>
      <c r="K435" s="11"/>
    </row>
    <row r="436" spans="1:11" ht="12.75">
      <c r="A436" s="8"/>
      <c r="B436" s="8"/>
      <c r="C436" s="8" t="s">
        <v>645</v>
      </c>
      <c r="D436" s="8"/>
      <c r="E436" s="8"/>
      <c r="F436" s="11">
        <f>Source!AM173</f>
        <v>1934.25</v>
      </c>
      <c r="G436" s="28" t="str">
        <f>Source!DE173</f>
        <v>)*1,15</v>
      </c>
      <c r="H436" s="8">
        <f>Source!AV173</f>
        <v>1.047</v>
      </c>
      <c r="I436" s="11">
        <f>ROUND((Source!CR173/IF(Source!BB173&lt;&gt;0,Source!BB173,1)*Source!I173),2)</f>
        <v>0.93</v>
      </c>
      <c r="J436" s="8">
        <f>Source!BB173</f>
        <v>8.41</v>
      </c>
      <c r="K436" s="11"/>
    </row>
    <row r="437" spans="1:12" ht="12.75">
      <c r="A437" s="8"/>
      <c r="B437" s="8"/>
      <c r="C437" s="8" t="s">
        <v>646</v>
      </c>
      <c r="D437" s="8"/>
      <c r="E437" s="8"/>
      <c r="F437" s="11">
        <f>Source!AN173</f>
        <v>357.6</v>
      </c>
      <c r="G437" s="28" t="str">
        <f>Source!DF173</f>
        <v>)*1,15</v>
      </c>
      <c r="H437" s="8">
        <f>Source!AV173</f>
        <v>1.047</v>
      </c>
      <c r="I437" s="29" t="str">
        <f>CONCATENATE("(",TEXT(+ROUND((Source!CS173/IF(J437&lt;&gt;0,J437,1)*Source!I173),2),"0,00"),")")</f>
        <v>(0,17)</v>
      </c>
      <c r="J437" s="8">
        <f>Source!BS173</f>
        <v>13.09</v>
      </c>
      <c r="K437" s="29"/>
      <c r="L437">
        <f>ROUND(IF(J437&lt;&gt;0,Source!R173/J437,Source!R173),2)</f>
        <v>0.17</v>
      </c>
    </row>
    <row r="438" spans="1:11" ht="12.75">
      <c r="A438" s="8"/>
      <c r="B438" s="8"/>
      <c r="C438" s="8" t="s">
        <v>655</v>
      </c>
      <c r="D438" s="8"/>
      <c r="E438" s="8"/>
      <c r="F438" s="11">
        <f>Source!AL173</f>
        <v>6731.62</v>
      </c>
      <c r="G438" s="8">
        <f>Source!DD173</f>
      </c>
      <c r="H438" s="8">
        <f>Source!AW173</f>
        <v>1.002</v>
      </c>
      <c r="I438" s="11">
        <f>ROUND((Source!CQ173/IF(Source!BC173&lt;&gt;0,Source!BC173,1)*Source!I173),2)</f>
        <v>2.7</v>
      </c>
      <c r="J438" s="8">
        <f>Source!BC173</f>
        <v>5.41</v>
      </c>
      <c r="K438" s="11"/>
    </row>
    <row r="439" spans="1:25" ht="60">
      <c r="A439" s="26" t="str">
        <f>Source!E174</f>
        <v>60,1</v>
      </c>
      <c r="B439" s="26" t="str">
        <f>Source!F174</f>
        <v>1.3-1-36</v>
      </c>
      <c r="C439" s="9" t="str">
        <f>Source!G174</f>
        <v>СМЕСИ БЕТОННЫЕ, БСГ, ТЯЖЕЛОГО БЕТОНА НА ГРАНИТНОМ ЩЕБНЕ, КЛАСС ПРОЧНОСТИ: В7,5 (М100); П3, ФРАКЦИЯ 5-20</v>
      </c>
      <c r="D439" s="27" t="str">
        <f>Source!H174</f>
        <v>м3</v>
      </c>
      <c r="E439" s="8">
        <f>ROUND(Source!I174,6)</f>
        <v>0.0648</v>
      </c>
      <c r="F439" s="11">
        <f>IF(Source!AL174=0,Source!AK174,Source!AL174)</f>
        <v>517.14</v>
      </c>
      <c r="G439" s="28">
        <f>Source!DD174</f>
      </c>
      <c r="H439" s="8">
        <f>Source!AW174</f>
        <v>1.002</v>
      </c>
      <c r="I439" s="11">
        <f>ROUND((Source!CR174/IF(Source!BB174&lt;&gt;0,Source!BB174,1)*Source!I174),2)+ROUND((Source!CQ174/IF(Source!BC174&lt;&gt;0,Source!BC174,1)*Source!I174),2)+ROUND((Source!CT174/IF(Source!BA174&lt;&gt;0,Source!BA174,1)*Source!I174),2)</f>
        <v>33.58</v>
      </c>
      <c r="J439" s="8">
        <f>Source!BC174</f>
        <v>5.69</v>
      </c>
      <c r="K439" s="11"/>
      <c r="O439">
        <f>IF(Source!BI174=1,(ROUND((Source!CR174/IF(Source!BB174&lt;&gt;0,Source!BB174,1)*Source!I174),2)+ROUND((Source!CQ174/IF(Source!BC174&lt;&gt;0,Source!BC174,1)*Source!I174),2)+ROUND((Source!CT174/IF(Source!BA174&lt;&gt;0,Source!BA174,1)*Source!I174),2)),0)</f>
        <v>33.58</v>
      </c>
      <c r="P439">
        <f>IF(Source!BI174=2,(ROUND((Source!CR174/IF(Source!BB174&lt;&gt;0,Source!BB174,1)*Source!I174),2)+ROUND((Source!CQ174/IF(Source!BC174&lt;&gt;0,Source!BC174,1)*Source!I174),2)+ROUND((Source!CT174/IF(Source!BA174&lt;&gt;0,Source!BA174,1)*Source!I174),2)),0)</f>
        <v>0</v>
      </c>
      <c r="Q439">
        <f>IF(Source!BI174=3,(ROUND((Source!CR174/IF(Source!BB174&lt;&gt;0,Source!BB174,1)*Source!I174),2)+ROUND((Source!CQ174/IF(Source!BC174&lt;&gt;0,Source!BC174,1)*Source!I174),2)+ROUND((Source!CT174/IF(Source!BA174&lt;&gt;0,Source!BA174,1)*Source!I174),2)),0)</f>
        <v>0</v>
      </c>
      <c r="R439">
        <f>IF(Source!BI174=4,(ROUND((Source!CR174/IF(Source!BB174&lt;&gt;0,Source!BB174,1)*Source!I174),2)+ROUND((Source!CQ174/IF(Source!BC174&lt;&gt;0,Source!BC174,1)*Source!I174),2)+ROUND((Source!CT174/IF(Source!BA174&lt;&gt;0,Source!BA174,1)*Source!I174),2)),0)</f>
        <v>0</v>
      </c>
      <c r="U439">
        <f>IF(Source!BI174=1,Source!O174+Source!X174+Source!Y174,0)</f>
        <v>191.06</v>
      </c>
      <c r="V439">
        <f>IF(Source!BI174=2,Source!O174+Source!X174+Source!Y174,0)</f>
        <v>0</v>
      </c>
      <c r="W439">
        <f>IF(Source!BI174=3,Source!O174+Source!X174+Source!Y174,0)</f>
        <v>0</v>
      </c>
      <c r="X439">
        <f>IF(Source!BI174=4,Source!O174+Source!X174+Source!Y174,0)</f>
        <v>0</v>
      </c>
      <c r="Y439">
        <v>63</v>
      </c>
    </row>
    <row r="440" spans="1:11" ht="12.75">
      <c r="A440" s="8"/>
      <c r="B440" s="8"/>
      <c r="C440" s="8" t="s">
        <v>647</v>
      </c>
      <c r="D440" s="8" t="s">
        <v>648</v>
      </c>
      <c r="E440" s="8">
        <f>Source!DN173</f>
        <v>161</v>
      </c>
      <c r="F440" s="8"/>
      <c r="G440" s="8"/>
      <c r="H440" s="8"/>
      <c r="I440" s="11">
        <f>ROUND((E440/100)*ROUND((Source!CT173/IF(Source!BA173&lt;&gt;0,Source!BA173,1)*Source!I173),2),2)</f>
        <v>2.37</v>
      </c>
      <c r="J440" s="8">
        <f>Source!AT173</f>
        <v>140</v>
      </c>
      <c r="K440" s="11"/>
    </row>
    <row r="441" spans="1:11" ht="12.75">
      <c r="A441" s="8"/>
      <c r="B441" s="8"/>
      <c r="C441" s="8" t="s">
        <v>649</v>
      </c>
      <c r="D441" s="8" t="s">
        <v>648</v>
      </c>
      <c r="E441" s="8">
        <f>Source!DO173</f>
        <v>107</v>
      </c>
      <c r="F441" s="8"/>
      <c r="G441" s="8"/>
      <c r="H441" s="8"/>
      <c r="I441" s="11">
        <f>ROUND((E441/100)*ROUND((Source!CT173/IF(Source!BA173&lt;&gt;0,Source!BA173,1)*Source!I173),2),2)</f>
        <v>1.57</v>
      </c>
      <c r="J441" s="8">
        <f>Source!AU173</f>
        <v>57</v>
      </c>
      <c r="K441" s="11"/>
    </row>
    <row r="442" spans="1:11" ht="12.75">
      <c r="A442" s="8"/>
      <c r="B442" s="8"/>
      <c r="C442" s="8" t="s">
        <v>650</v>
      </c>
      <c r="D442" s="8" t="s">
        <v>648</v>
      </c>
      <c r="E442" s="8">
        <v>175</v>
      </c>
      <c r="F442" s="8"/>
      <c r="G442" s="8"/>
      <c r="H442" s="8"/>
      <c r="I442" s="11">
        <f>ROUND(ROUND((Source!CS173/IF(Source!BS173&lt;&gt;0,Source!BS173,1)*Source!I173),2)*1.75,2)</f>
        <v>0.3</v>
      </c>
      <c r="J442" s="8">
        <v>167</v>
      </c>
      <c r="K442" s="11"/>
    </row>
    <row r="443" spans="1:11" ht="12.75">
      <c r="A443" s="30"/>
      <c r="B443" s="30"/>
      <c r="C443" s="30" t="s">
        <v>651</v>
      </c>
      <c r="D443" s="30" t="s">
        <v>652</v>
      </c>
      <c r="E443" s="30">
        <f>Source!AQ173</f>
        <v>267</v>
      </c>
      <c r="F443" s="30"/>
      <c r="G443" s="31" t="str">
        <f>Source!DI173</f>
        <v>)*1,15</v>
      </c>
      <c r="H443" s="30">
        <f>Source!AV173</f>
        <v>1.047</v>
      </c>
      <c r="I443" s="32">
        <f>ROUND(Source!U173,2)</f>
        <v>0.13</v>
      </c>
      <c r="J443" s="30"/>
      <c r="K443" s="30"/>
    </row>
    <row r="444" spans="9:24" ht="12.75">
      <c r="I444" s="33">
        <f>ROUND((Source!CT173/IF(Source!BA173&lt;&gt;0,Source!BA173,1)*Source!I173),2)+ROUND((Source!CR173/IF(Source!BB173&lt;&gt;0,Source!BB173,1)*Source!I173),2)+ROUND((Source!CQ173/IF(Source!BC173&lt;&gt;0,Source!BC173,1)*Source!I173),2)+SUM(I439:I442)</f>
        <v>42.919999999999995</v>
      </c>
      <c r="J444" s="34"/>
      <c r="K444" s="33"/>
      <c r="L444">
        <f>ROUND((Source!CT173/IF(Source!BA173&lt;&gt;0,Source!BA173,1)*Source!I173),2)</f>
        <v>1.47</v>
      </c>
      <c r="M444" s="12">
        <f>I444</f>
        <v>42.919999999999995</v>
      </c>
      <c r="N444" s="12">
        <f>K444</f>
        <v>0</v>
      </c>
      <c r="O444">
        <f>ROUND(IF(Source!BI173=1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9.34</v>
      </c>
      <c r="P444">
        <f>ROUND(IF(Source!BI173=2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Q444">
        <f>ROUND(IF(Source!BI173=3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R444">
        <f>ROUND(IF(Source!BI173=4,(ROUND((Source!CT173/IF(Source!BA173&lt;&gt;0,Source!BA173,1)*Source!I173),2)+ROUND((Source!CR173/IF(Source!BB173&lt;&gt;0,Source!BB173,1)*Source!I173),2)+ROUND((Source!CQ173/IF(Source!BC173&lt;&gt;0,Source!BC173,1)*Source!I173),2)+((Source!DN173/100)*ROUND((Source!CT173/IF(Source!BA173&lt;&gt;0,Source!BA173,1)*Source!I173),2))+((Source!DO173/100)*ROUND((Source!CT173/IF(Source!BA173&lt;&gt;0,Source!BA173,1)*Source!I173),2))+(ROUND((Source!CS173/IF(Source!BS173&lt;&gt;0,Source!BS173,1)*Source!I173),2)*1.75)),0),2)</f>
        <v>0</v>
      </c>
      <c r="U444">
        <f>IF(Source!BI173=1,Source!O173+Source!X173+Source!Y173+Source!R173*167/100,0)</f>
        <v>83.53750000000001</v>
      </c>
      <c r="V444">
        <f>IF(Source!BI173=2,Source!O173+Source!X173+Source!Y173+Source!R173*167/100,0)</f>
        <v>0</v>
      </c>
      <c r="W444">
        <f>IF(Source!BI173=3,Source!O173+Source!X173+Source!Y173+Source!R173*167/100,0)</f>
        <v>0</v>
      </c>
      <c r="X444">
        <f>IF(Source!BI173=4,Source!O173+Source!X173+Source!Y173+Source!R173*167/100,0)</f>
        <v>0</v>
      </c>
    </row>
    <row r="445" spans="1:25" ht="23.25">
      <c r="A445" s="26" t="str">
        <f>Source!E175</f>
        <v>61</v>
      </c>
      <c r="B445" s="26" t="s">
        <v>662</v>
      </c>
      <c r="C445" s="9" t="str">
        <f>Source!G175</f>
        <v>ИСКЛЮЧАТЬ 4 СМ ДО 12 СМ</v>
      </c>
      <c r="D445" s="27" t="str">
        <f>Source!H175</f>
        <v>1000 м2</v>
      </c>
      <c r="E445" s="8">
        <f>ROUND(Source!I175,6)</f>
        <v>-0.0004</v>
      </c>
      <c r="F445" s="8"/>
      <c r="G445" s="8"/>
      <c r="H445" s="8"/>
      <c r="I445" s="8"/>
      <c r="J445" s="8"/>
      <c r="K445" s="8"/>
      <c r="Y445">
        <v>64</v>
      </c>
    </row>
    <row r="446" spans="1:11" ht="12.75">
      <c r="A446" s="8"/>
      <c r="B446" s="8"/>
      <c r="C446" s="8" t="s">
        <v>644</v>
      </c>
      <c r="D446" s="8"/>
      <c r="E446" s="8"/>
      <c r="F446" s="11">
        <f>Source!AO175</f>
        <v>59.3</v>
      </c>
      <c r="G446" s="28" t="str">
        <f>Source!DG175</f>
        <v>)*4)*1,15</v>
      </c>
      <c r="H446" s="8">
        <f>Source!AV175</f>
        <v>1.047</v>
      </c>
      <c r="I446" s="11">
        <f>ROUND((Source!CT175/IF(Source!BA175&lt;&gt;0,Source!BA175,1)*Source!I175),2)</f>
        <v>-0.11</v>
      </c>
      <c r="J446" s="8">
        <f>Source!BA175</f>
        <v>13.09</v>
      </c>
      <c r="K446" s="11"/>
    </row>
    <row r="447" spans="1:11" ht="12.75">
      <c r="A447" s="8"/>
      <c r="B447" s="8"/>
      <c r="C447" s="8" t="s">
        <v>655</v>
      </c>
      <c r="D447" s="8"/>
      <c r="E447" s="8"/>
      <c r="F447" s="11">
        <f>Source!AL175</f>
        <v>58.6</v>
      </c>
      <c r="G447" s="8" t="str">
        <f>Source!DD175</f>
        <v>)*4</v>
      </c>
      <c r="H447" s="8">
        <f>Source!AW175</f>
        <v>1.002</v>
      </c>
      <c r="I447" s="11">
        <f>ROUND((Source!CQ175/IF(Source!BC175&lt;&gt;0,Source!BC175,1)*Source!I175),2)</f>
        <v>-0.09</v>
      </c>
      <c r="J447" s="8">
        <f>Source!BC175</f>
        <v>4.19</v>
      </c>
      <c r="K447" s="11"/>
    </row>
    <row r="448" spans="1:25" ht="60">
      <c r="A448" s="26" t="str">
        <f>Source!E176</f>
        <v>61,1</v>
      </c>
      <c r="B448" s="26" t="str">
        <f>Source!F176</f>
        <v>1.3-1-36</v>
      </c>
      <c r="C448" s="9" t="str">
        <f>Source!G176</f>
        <v>СМЕСИ БЕТОННЫЕ, БСГ, ТЯЖЕЛОГО БЕТОНА НА ГРАНИТНОМ ЩЕБНЕ, КЛАСС ПРОЧНОСТИ: В7,5 (М100); П3, ФРАКЦИЯ 5-20</v>
      </c>
      <c r="D448" s="27" t="str">
        <f>Source!H176</f>
        <v>м3</v>
      </c>
      <c r="E448" s="8">
        <f>ROUND(Source!I176,6)</f>
        <v>-0.00408</v>
      </c>
      <c r="F448" s="11">
        <f>IF(Source!AL176=0,Source!AK176,Source!AL176)</f>
        <v>517.14</v>
      </c>
      <c r="G448" s="28" t="str">
        <f>Source!DD176</f>
        <v>)*4</v>
      </c>
      <c r="H448" s="8">
        <f>Source!AW176</f>
        <v>1.002</v>
      </c>
      <c r="I448" s="11">
        <f>ROUND((Source!CR176/IF(Source!BB176&lt;&gt;0,Source!BB176,1)*Source!I176),2)+ROUND((Source!CQ176/IF(Source!BC176&lt;&gt;0,Source!BC176,1)*Source!I176),2)+ROUND((Source!CT176/IF(Source!BA176&lt;&gt;0,Source!BA176,1)*Source!I176),2)</f>
        <v>-8.46</v>
      </c>
      <c r="J448" s="8">
        <f>Source!BC176</f>
        <v>5.69</v>
      </c>
      <c r="K448" s="11"/>
      <c r="O448">
        <f>IF(Source!BI176=1,(ROUND((Source!CR176/IF(Source!BB176&lt;&gt;0,Source!BB176,1)*Source!I176),2)+ROUND((Source!CQ176/IF(Source!BC176&lt;&gt;0,Source!BC176,1)*Source!I176),2)+ROUND((Source!CT176/IF(Source!BA176&lt;&gt;0,Source!BA176,1)*Source!I176),2)),0)</f>
        <v>-8.46</v>
      </c>
      <c r="P448">
        <f>IF(Source!BI176=2,(ROUND((Source!CR176/IF(Source!BB176&lt;&gt;0,Source!BB176,1)*Source!I176),2)+ROUND((Source!CQ176/IF(Source!BC176&lt;&gt;0,Source!BC176,1)*Source!I176),2)+ROUND((Source!CT176/IF(Source!BA176&lt;&gt;0,Source!BA176,1)*Source!I176),2)),0)</f>
        <v>0</v>
      </c>
      <c r="Q448">
        <f>IF(Source!BI176=3,(ROUND((Source!CR176/IF(Source!BB176&lt;&gt;0,Source!BB176,1)*Source!I176),2)+ROUND((Source!CQ176/IF(Source!BC176&lt;&gt;0,Source!BC176,1)*Source!I176),2)+ROUND((Source!CT176/IF(Source!BA176&lt;&gt;0,Source!BA176,1)*Source!I176),2)),0)</f>
        <v>0</v>
      </c>
      <c r="R448">
        <f>IF(Source!BI176=4,(ROUND((Source!CR176/IF(Source!BB176&lt;&gt;0,Source!BB176,1)*Source!I176),2)+ROUND((Source!CQ176/IF(Source!BC176&lt;&gt;0,Source!BC176,1)*Source!I176),2)+ROUND((Source!CT176/IF(Source!BA176&lt;&gt;0,Source!BA176,1)*Source!I176),2)),0)</f>
        <v>0</v>
      </c>
      <c r="U448">
        <f>IF(Source!BI176=1,Source!O176+Source!X176+Source!Y176,0)</f>
        <v>-48.12</v>
      </c>
      <c r="V448">
        <f>IF(Source!BI176=2,Source!O176+Source!X176+Source!Y176,0)</f>
        <v>0</v>
      </c>
      <c r="W448">
        <f>IF(Source!BI176=3,Source!O176+Source!X176+Source!Y176,0)</f>
        <v>0</v>
      </c>
      <c r="X448">
        <f>IF(Source!BI176=4,Source!O176+Source!X176+Source!Y176,0)</f>
        <v>0</v>
      </c>
      <c r="Y448">
        <v>65</v>
      </c>
    </row>
    <row r="449" spans="1:11" ht="12.75">
      <c r="A449" s="8"/>
      <c r="B449" s="8"/>
      <c r="C449" s="8" t="s">
        <v>647</v>
      </c>
      <c r="D449" s="8" t="s">
        <v>648</v>
      </c>
      <c r="E449" s="8">
        <f>Source!DN175</f>
        <v>161</v>
      </c>
      <c r="F449" s="8"/>
      <c r="G449" s="8"/>
      <c r="H449" s="8"/>
      <c r="I449" s="11">
        <f>ROUND((E449/100)*ROUND((Source!CT175/IF(Source!BA175&lt;&gt;0,Source!BA175,1)*Source!I175),2),2)</f>
        <v>-0.18</v>
      </c>
      <c r="J449" s="8">
        <f>Source!AT175</f>
        <v>140</v>
      </c>
      <c r="K449" s="11"/>
    </row>
    <row r="450" spans="1:11" ht="12.75">
      <c r="A450" s="8"/>
      <c r="B450" s="8"/>
      <c r="C450" s="8" t="s">
        <v>649</v>
      </c>
      <c r="D450" s="8" t="s">
        <v>648</v>
      </c>
      <c r="E450" s="8">
        <f>Source!DO175</f>
        <v>107</v>
      </c>
      <c r="F450" s="8"/>
      <c r="G450" s="8"/>
      <c r="H450" s="8"/>
      <c r="I450" s="11">
        <f>ROUND((E450/100)*ROUND((Source!CT175/IF(Source!BA175&lt;&gt;0,Source!BA175,1)*Source!I175),2),2)</f>
        <v>-0.12</v>
      </c>
      <c r="J450" s="8">
        <f>Source!AU175</f>
        <v>57</v>
      </c>
      <c r="K450" s="11"/>
    </row>
    <row r="451" spans="1:11" ht="12.75">
      <c r="A451" s="30"/>
      <c r="B451" s="30"/>
      <c r="C451" s="30" t="s">
        <v>651</v>
      </c>
      <c r="D451" s="30" t="s">
        <v>652</v>
      </c>
      <c r="E451" s="30">
        <f>Source!AQ175</f>
        <v>5.17</v>
      </c>
      <c r="F451" s="30"/>
      <c r="G451" s="31" t="str">
        <f>Source!DI175</f>
        <v>)*4)*1,15</v>
      </c>
      <c r="H451" s="30">
        <f>Source!AV175</f>
        <v>1.047</v>
      </c>
      <c r="I451" s="32">
        <f>ROUND(Source!U175,2)</f>
        <v>-0.01</v>
      </c>
      <c r="J451" s="30"/>
      <c r="K451" s="30"/>
    </row>
    <row r="452" spans="9:24" ht="12.75">
      <c r="I452" s="33">
        <f>ROUND((Source!CT175/IF(Source!BA175&lt;&gt;0,Source!BA175,1)*Source!I175),2)+ROUND((Source!CR175/IF(Source!BB175&lt;&gt;0,Source!BB175,1)*Source!I175),2)+ROUND((Source!CQ175/IF(Source!BC175&lt;&gt;0,Source!BC175,1)*Source!I175),2)+SUM(I448:I450)</f>
        <v>-8.959999999999999</v>
      </c>
      <c r="J452" s="34"/>
      <c r="K452" s="33"/>
      <c r="L452">
        <f>ROUND((Source!CT175/IF(Source!BA175&lt;&gt;0,Source!BA175,1)*Source!I175),2)</f>
        <v>-0.11</v>
      </c>
      <c r="M452" s="12">
        <f>I452</f>
        <v>-8.959999999999999</v>
      </c>
      <c r="N452" s="12">
        <f>K452</f>
        <v>0</v>
      </c>
      <c r="O452">
        <f>ROUND(IF(Source!BI175=1,(ROUND((Source!CT175/IF(Source!BA175&lt;&gt;0,Source!BA175,1)*Source!I175),2)+ROUND((Source!CR175/IF(Source!BB175&lt;&gt;0,Source!BB175,1)*Source!I175),2)+ROUND((Source!CQ175/IF(Source!BC175&lt;&gt;0,Source!BC175,1)*Source!I175),2)+((Source!DN175/100)*ROUND((Source!CT175/IF(Source!BA175&lt;&gt;0,Source!BA175,1)*Source!I175),2))+((Source!DO175/100)*ROUND((Source!CT175/IF(Source!BA175&lt;&gt;0,Source!BA175,1)*Source!I175),2))+(ROUND((Source!CS175/IF(Source!BS175&lt;&gt;0,Source!BS175,1)*Source!I175),2)*1.75)),0),2)</f>
        <v>-0.49</v>
      </c>
      <c r="P452">
        <f>ROUND(IF(Source!BI175=2,(ROUND((Source!CT175/IF(Source!BA175&lt;&gt;0,Source!BA175,1)*Source!I175),2)+ROUND((Source!CR175/IF(Source!BB175&lt;&gt;0,Source!BB175,1)*Source!I175),2)+ROUND((Source!CQ175/IF(Source!BC175&lt;&gt;0,Source!BC175,1)*Source!I175),2)+((Source!DN175/100)*ROUND((Source!CT175/IF(Source!BA175&lt;&gt;0,Source!BA175,1)*Source!I175),2))+((Source!DO175/100)*ROUND((Source!CT175/IF(Source!BA175&lt;&gt;0,Source!BA175,1)*Source!I175),2))+(ROUND((Source!CS175/IF(Source!BS175&lt;&gt;0,Source!BS175,1)*Source!I175),2)*1.75)),0),2)</f>
        <v>0</v>
      </c>
      <c r="Q452">
        <f>ROUND(IF(Source!BI175=3,(ROUND((Source!CT175/IF(Source!BA175&lt;&gt;0,Source!BA175,1)*Source!I175),2)+ROUND((Source!CR175/IF(Source!BB175&lt;&gt;0,Source!BB175,1)*Source!I175),2)+ROUND((Source!CQ175/IF(Source!BC175&lt;&gt;0,Source!BC175,1)*Source!I175),2)+((Source!DN175/100)*ROUND((Source!CT175/IF(Source!BA175&lt;&gt;0,Source!BA175,1)*Source!I175),2))+((Source!DO175/100)*ROUND((Source!CT175/IF(Source!BA175&lt;&gt;0,Source!BA175,1)*Source!I175),2))+(ROUND((Source!CS175/IF(Source!BS175&lt;&gt;0,Source!BS175,1)*Source!I175),2)*1.75)),0),2)</f>
        <v>0</v>
      </c>
      <c r="R452">
        <f>ROUND(IF(Source!BI175=4,(ROUND((Source!CT175/IF(Source!BA175&lt;&gt;0,Source!BA175,1)*Source!I175),2)+ROUND((Source!CR175/IF(Source!BB175&lt;&gt;0,Source!BB175,1)*Source!I175),2)+ROUND((Source!CQ175/IF(Source!BC175&lt;&gt;0,Source!BC175,1)*Source!I175),2)+((Source!DN175/100)*ROUND((Source!CT175/IF(Source!BA175&lt;&gt;0,Source!BA175,1)*Source!I175),2))+((Source!DO175/100)*ROUND((Source!CT175/IF(Source!BA175&lt;&gt;0,Source!BA175,1)*Source!I175),2))+(ROUND((Source!CS175/IF(Source!BS175&lt;&gt;0,Source!BS175,1)*Source!I175),2)*1.75)),0),2)</f>
        <v>0</v>
      </c>
      <c r="U452">
        <f>IF(Source!BI175=1,Source!O175+Source!X175+Source!Y175+Source!R175*167/100,0)</f>
        <v>-4.8500000000000005</v>
      </c>
      <c r="V452">
        <f>IF(Source!BI175=2,Source!O175+Source!X175+Source!Y175+Source!R175*167/100,0)</f>
        <v>0</v>
      </c>
      <c r="W452">
        <f>IF(Source!BI175=3,Source!O175+Source!X175+Source!Y175+Source!R175*167/100,0)</f>
        <v>0</v>
      </c>
      <c r="X452">
        <f>IF(Source!BI175=4,Source!O175+Source!X175+Source!Y175+Source!R175*167/100,0)</f>
        <v>0</v>
      </c>
    </row>
    <row r="453" spans="1:25" ht="48">
      <c r="A453" s="26" t="str">
        <f>Source!E177</f>
        <v>62</v>
      </c>
      <c r="B453" s="26" t="s">
        <v>663</v>
      </c>
      <c r="C453" s="9" t="str">
        <f>Source!G177</f>
        <v>УСТРОЙСТВО ПОКРЫТИЙ ИЗ ГОРЯЧИХ АСФАЛЬТОБЕТОННЫХ СМЕСЕЙ ТОЛЩИНОЙ 4 СМ КОМПЛЕКТОМ МАШИН</v>
      </c>
      <c r="D453" s="27" t="str">
        <f>Source!H177</f>
        <v>100 м2</v>
      </c>
      <c r="E453" s="8">
        <f>ROUND(Source!I177,6)</f>
        <v>0.014</v>
      </c>
      <c r="F453" s="8"/>
      <c r="G453" s="8"/>
      <c r="H453" s="8"/>
      <c r="I453" s="8"/>
      <c r="J453" s="8"/>
      <c r="K453" s="8"/>
      <c r="Y453">
        <v>66</v>
      </c>
    </row>
    <row r="454" spans="1:11" ht="12.75">
      <c r="A454" s="8"/>
      <c r="B454" s="8"/>
      <c r="C454" s="8" t="s">
        <v>644</v>
      </c>
      <c r="D454" s="8"/>
      <c r="E454" s="8"/>
      <c r="F454" s="11">
        <f>Source!AO177</f>
        <v>52.17</v>
      </c>
      <c r="G454" s="28" t="str">
        <f>Source!DG177</f>
        <v>)*1,15</v>
      </c>
      <c r="H454" s="8">
        <f>Source!AV177</f>
        <v>1.047</v>
      </c>
      <c r="I454" s="11">
        <f>ROUND((Source!CT177/IF(Source!BA177&lt;&gt;0,Source!BA177,1)*Source!I177),2)</f>
        <v>0.88</v>
      </c>
      <c r="J454" s="8">
        <f>Source!BA177</f>
        <v>13.09</v>
      </c>
      <c r="K454" s="11"/>
    </row>
    <row r="455" spans="1:11" ht="12.75">
      <c r="A455" s="8"/>
      <c r="B455" s="8"/>
      <c r="C455" s="8" t="s">
        <v>645</v>
      </c>
      <c r="D455" s="8"/>
      <c r="E455" s="8"/>
      <c r="F455" s="11">
        <f>Source!AM177</f>
        <v>419.23</v>
      </c>
      <c r="G455" s="28" t="str">
        <f>Source!DE177</f>
        <v>)*1,15</v>
      </c>
      <c r="H455" s="8">
        <f>Source!AV177</f>
        <v>1.047</v>
      </c>
      <c r="I455" s="11">
        <f>ROUND((Source!CR177/IF(Source!BB177&lt;&gt;0,Source!BB177,1)*Source!I177),2)</f>
        <v>7.07</v>
      </c>
      <c r="J455" s="8">
        <f>Source!BB177</f>
        <v>7.5</v>
      </c>
      <c r="K455" s="11"/>
    </row>
    <row r="456" spans="1:12" ht="12.75">
      <c r="A456" s="8"/>
      <c r="B456" s="8"/>
      <c r="C456" s="8" t="s">
        <v>646</v>
      </c>
      <c r="D456" s="8"/>
      <c r="E456" s="8"/>
      <c r="F456" s="11">
        <f>Source!AN177</f>
        <v>76.22</v>
      </c>
      <c r="G456" s="28" t="str">
        <f>Source!DF177</f>
        <v>)*1,15</v>
      </c>
      <c r="H456" s="8">
        <f>Source!AV177</f>
        <v>1.047</v>
      </c>
      <c r="I456" s="29" t="str">
        <f>CONCATENATE("(",TEXT(+ROUND((Source!CS177/IF(J456&lt;&gt;0,J456,1)*Source!I177),2),"0,00"),")")</f>
        <v>(1,28)</v>
      </c>
      <c r="J456" s="8">
        <f>Source!BS177</f>
        <v>13.09</v>
      </c>
      <c r="K456" s="29"/>
      <c r="L456">
        <f>ROUND(IF(J456&lt;&gt;0,Source!R177/J456,Source!R177),2)</f>
        <v>1.28</v>
      </c>
    </row>
    <row r="457" spans="1:11" ht="12.75">
      <c r="A457" s="8"/>
      <c r="B457" s="8"/>
      <c r="C457" s="8" t="s">
        <v>655</v>
      </c>
      <c r="D457" s="8"/>
      <c r="E457" s="8"/>
      <c r="F457" s="11">
        <f>Source!AL177</f>
        <v>57.83</v>
      </c>
      <c r="G457" s="8">
        <f>Source!DD177</f>
      </c>
      <c r="H457" s="8">
        <f>Source!AW177</f>
        <v>1</v>
      </c>
      <c r="I457" s="11">
        <f>ROUND((Source!CQ177/IF(Source!BC177&lt;&gt;0,Source!BC177,1)*Source!I177),2)</f>
        <v>0.81</v>
      </c>
      <c r="J457" s="8">
        <f>Source!BC177</f>
        <v>7.75</v>
      </c>
      <c r="K457" s="11"/>
    </row>
    <row r="458" spans="1:25" ht="36">
      <c r="A458" s="26" t="str">
        <f>Source!E178</f>
        <v>62,1</v>
      </c>
      <c r="B458" s="26" t="str">
        <f>Source!F178</f>
        <v>1.3-3-4</v>
      </c>
      <c r="C458" s="9" t="str">
        <f>Source!G178</f>
        <v>СМЕСИ АСФАЛЬТОБЕТОННЫЕ ДОРОЖНЫЕ ГОРЯЧИЕ КРУПНОЗЕРНИСТЫЕ, ТИП II</v>
      </c>
      <c r="D458" s="27" t="str">
        <f>Source!H178</f>
        <v>т</v>
      </c>
      <c r="E458" s="8">
        <f>ROUND(Source!I178,6)</f>
        <v>0.13412</v>
      </c>
      <c r="F458" s="11">
        <f>IF(Source!AL178=0,Source!AK178,Source!AL178)</f>
        <v>305.75</v>
      </c>
      <c r="G458" s="28">
        <f>Source!DD178</f>
      </c>
      <c r="H458" s="8">
        <f>Source!AW178</f>
        <v>1</v>
      </c>
      <c r="I458" s="11">
        <f>ROUND((Source!CR178/IF(Source!BB178&lt;&gt;0,Source!BB178,1)*Source!I178),2)+ROUND((Source!CQ178/IF(Source!BC178&lt;&gt;0,Source!BC178,1)*Source!I178),2)+ROUND((Source!CT178/IF(Source!BA178&lt;&gt;0,Source!BA178,1)*Source!I178),2)</f>
        <v>41.01</v>
      </c>
      <c r="J458" s="8">
        <f>Source!BC178</f>
        <v>7.05</v>
      </c>
      <c r="K458" s="11"/>
      <c r="O458">
        <f>IF(Source!BI178=1,(ROUND((Source!CR178/IF(Source!BB178&lt;&gt;0,Source!BB178,1)*Source!I178),2)+ROUND((Source!CQ178/IF(Source!BC178&lt;&gt;0,Source!BC178,1)*Source!I178),2)+ROUND((Source!CT178/IF(Source!BA178&lt;&gt;0,Source!BA178,1)*Source!I178),2)),0)</f>
        <v>41.01</v>
      </c>
      <c r="P458">
        <f>IF(Source!BI178=2,(ROUND((Source!CR178/IF(Source!BB178&lt;&gt;0,Source!BB178,1)*Source!I178),2)+ROUND((Source!CQ178/IF(Source!BC178&lt;&gt;0,Source!BC178,1)*Source!I178),2)+ROUND((Source!CT178/IF(Source!BA178&lt;&gt;0,Source!BA178,1)*Source!I178),2)),0)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Q458">
        <f>IF(Source!BI178=3,(ROUND((Source!CR178/IF(Source!BB178&lt;&gt;0,Source!BB178,1)*Source!I178),2)+ROUND((Source!CQ178/IF(Source!BC178&lt;&gt;0,Source!BC178,1)*Source!I178),2)+ROUND((Source!CT178/IF(Source!BA178&lt;&gt;0,Source!BA178,1)*Source!I178),2)),0)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R458">
        <f>IF(Source!BI178=4,(ROUND((Source!CR178/IF(Source!BB178&lt;&gt;0,Source!BB178,1)*Source!I178),2)+ROUND((Source!CQ178/IF(Source!BC178&lt;&gt;0,Source!BC178,1)*Source!I178),2)+ROUND((Source!CT178/IF(Source!BA178&lt;&gt;0,Source!BA178,1)*Source!I178),2)),0)</f>
        <v>0</v>
      </c>
      <c r="U458">
        <f>IF(Source!BI178=1,Source!O178+Source!X178+Source!Y178,0)</f>
        <v>289.1</v>
      </c>
      <c r="V458">
        <f>IF(Source!BI178=2,Source!O178+Source!X178+Source!Y178,0)</f>
        <v>0</v>
      </c>
      <c r="W458">
        <f>IF(Source!BI178=3,Source!O178+Source!X178+Source!Y178,0)</f>
        <v>0</v>
      </c>
      <c r="X458">
        <f>IF(Source!BI178=4,Source!O178+Source!X178+Source!Y178,0)</f>
        <v>0</v>
      </c>
      <c r="Y458">
        <v>67</v>
      </c>
    </row>
    <row r="459" spans="1:11" ht="12.75">
      <c r="A459" s="8"/>
      <c r="B459" s="8"/>
      <c r="C459" s="8" t="s">
        <v>647</v>
      </c>
      <c r="D459" s="8" t="s">
        <v>648</v>
      </c>
      <c r="E459" s="8">
        <f>Source!DN177</f>
        <v>161</v>
      </c>
      <c r="F459" s="8"/>
      <c r="G459" s="8"/>
      <c r="H459" s="8"/>
      <c r="I459" s="11">
        <f>ROUND((E459/100)*ROUND((Source!CT177/IF(Source!BA177&lt;&gt;0,Source!BA177,1)*Source!I177),2),2)</f>
        <v>1.42</v>
      </c>
      <c r="J459" s="8">
        <f>Source!AT177</f>
        <v>140</v>
      </c>
      <c r="K459" s="11"/>
    </row>
    <row r="460" spans="1:11" ht="12.75">
      <c r="A460" s="8"/>
      <c r="B460" s="8"/>
      <c r="C460" s="8" t="s">
        <v>649</v>
      </c>
      <c r="D460" s="8" t="s">
        <v>648</v>
      </c>
      <c r="E460" s="8">
        <f>Source!DO177</f>
        <v>107</v>
      </c>
      <c r="F460" s="8"/>
      <c r="G460" s="8"/>
      <c r="H460" s="8"/>
      <c r="I460" s="11">
        <f>ROUND((E460/100)*ROUND((Source!CT177/IF(Source!BA177&lt;&gt;0,Source!BA177,1)*Source!I177),2),2)</f>
        <v>0.94</v>
      </c>
      <c r="J460" s="8">
        <f>Source!AU177</f>
        <v>57</v>
      </c>
      <c r="K460" s="11"/>
    </row>
    <row r="461" spans="1:11" ht="12.75">
      <c r="A461" s="8"/>
      <c r="B461" s="8"/>
      <c r="C461" s="8" t="s">
        <v>650</v>
      </c>
      <c r="D461" s="8" t="s">
        <v>648</v>
      </c>
      <c r="E461" s="8">
        <v>175</v>
      </c>
      <c r="F461" s="8"/>
      <c r="G461" s="8"/>
      <c r="H461" s="8"/>
      <c r="I461" s="11">
        <f>ROUND(ROUND((Source!CS177/IF(Source!BS177&lt;&gt;0,Source!BS177,1)*Source!I177),2)*1.75,2)</f>
        <v>2.24</v>
      </c>
      <c r="J461" s="8">
        <v>167</v>
      </c>
      <c r="K461" s="11"/>
    </row>
    <row r="462" spans="1:11" ht="12.75">
      <c r="A462" s="30"/>
      <c r="B462" s="30"/>
      <c r="C462" s="30" t="s">
        <v>651</v>
      </c>
      <c r="D462" s="30" t="s">
        <v>652</v>
      </c>
      <c r="E462" s="30">
        <f>Source!AQ177</f>
        <v>4.29</v>
      </c>
      <c r="F462" s="30"/>
      <c r="G462" s="31" t="str">
        <f>Source!DI177</f>
        <v>)*1,15</v>
      </c>
      <c r="H462" s="30">
        <f>Source!AV177</f>
        <v>1.047</v>
      </c>
      <c r="I462" s="32">
        <f>ROUND(Source!U177,2)</f>
        <v>0.07</v>
      </c>
      <c r="J462" s="30"/>
      <c r="K462" s="30"/>
    </row>
    <row r="463" spans="9:24" ht="12.75">
      <c r="I463" s="33">
        <f>ROUND((Source!CT177/IF(Source!BA177&lt;&gt;0,Source!BA177,1)*Source!I177),2)+ROUND((Source!CR177/IF(Source!BB177&lt;&gt;0,Source!BB177,1)*Source!I177),2)+ROUND((Source!CQ177/IF(Source!BC177&lt;&gt;0,Source!BC177,1)*Source!I177),2)+SUM(I458:I461)</f>
        <v>54.37</v>
      </c>
      <c r="J463" s="34"/>
      <c r="K463" s="33"/>
      <c r="L463">
        <f>ROUND((Source!CT177/IF(Source!BA177&lt;&gt;0,Source!BA177,1)*Source!I177),2)</f>
        <v>0.88</v>
      </c>
      <c r="M463" s="12">
        <f>I463</f>
        <v>54.37</v>
      </c>
      <c r="N463" s="12">
        <f>K463</f>
        <v>0</v>
      </c>
      <c r="O463">
        <f>ROUND(IF(Source!BI177=1,(ROUND((Source!CT177/IF(Source!BA177&lt;&gt;0,Source!BA177,1)*Source!I177),2)+ROUND((Source!CR177/IF(Source!BB177&lt;&gt;0,Source!BB177,1)*Source!I177),2)+ROUND((Source!CQ177/IF(Source!BC177&lt;&gt;0,Source!BC177,1)*Source!I177),2)+((Source!DN177/100)*ROUND((Source!CT177/IF(Source!BA177&lt;&gt;0,Source!BA177,1)*Source!I177),2))+((Source!DO177/100)*ROUND((Source!CT177/IF(Source!BA177&lt;&gt;0,Source!BA177,1)*Source!I177),2))+(ROUND((Source!CS177/IF(Source!BS177&lt;&gt;0,Source!BS177,1)*Source!I177),2)*1.75)),0),2)</f>
        <v>13.36</v>
      </c>
      <c r="P463">
        <f>ROUND(IF(Source!BI177=2,(ROUND((Source!CT177/IF(Source!BA177&lt;&gt;0,Source!BA177,1)*Source!I177),2)+ROUND((Source!CR177/IF(Source!BB177&lt;&gt;0,Source!BB177,1)*Source!I177),2)+ROUND((Source!CQ177/IF(Source!BC177&lt;&gt;0,Source!BC177,1)*Source!I177),2)+((Source!DN177/100)*ROUND((Source!CT177/IF(Source!BA177&lt;&gt;0,Source!BA177,1)*Source!I177),2))+((Source!DO177/100)*ROUND((Source!CT177/IF(Source!BA177&lt;&gt;0,Source!BA177,1)*Source!I177),2))+(ROUND((Source!CS177/IF(Source!BS177&lt;&gt;0,Source!BS177,1)*Source!I177),2)*1.75)),0),2)</f>
        <v>0</v>
      </c>
      <c r="Q463">
        <f>ROUND(IF(Source!BI177=3,(ROUND((Source!CT177/IF(Source!BA177&lt;&gt;0,Source!BA177,1)*Source!I177),2)+ROUND((Source!CR177/IF(Source!BB177&lt;&gt;0,Source!BB177,1)*Source!I177),2)+ROUND((Source!CQ177/IF(Source!BC177&lt;&gt;0,Source!BC177,1)*Source!I177),2)+((Source!DN177/100)*ROUND((Source!CT177/IF(Source!BA177&lt;&gt;0,Source!BA177,1)*Source!I177),2))+((Source!DO177/100)*ROUND((Source!CT177/IF(Source!BA177&lt;&gt;0,Source!BA177,1)*Source!I177),2))+(ROUND((Source!CS177/IF(Source!BS177&lt;&gt;0,Source!BS177,1)*Source!I177),2)*1.75)),0),2)</f>
        <v>0</v>
      </c>
      <c r="R463">
        <f>ROUND(IF(Source!BI177=4,(ROUND((Source!CT177/IF(Source!BA177&lt;&gt;0,Source!BA177,1)*Source!I177),2)+ROUND((Source!CR177/IF(Source!BB177&lt;&gt;0,Source!BB177,1)*Source!I177),2)+ROUND((Source!CQ177/IF(Source!BC177&lt;&gt;0,Source!BC177,1)*Source!I177),2)+((Source!DN177/100)*ROUND((Source!CT177/IF(Source!BA177&lt;&gt;0,Source!BA177,1)*Source!I177),2))+((Source!DO177/100)*ROUND((Source!CT177/IF(Source!BA177&lt;&gt;0,Source!BA177,1)*Source!I177),2))+(ROUND((Source!CS177/IF(Source!BS177&lt;&gt;0,Source!BS177,1)*Source!I177),2)*1.75)),0),2)</f>
        <v>0</v>
      </c>
      <c r="U463">
        <f>IF(Source!BI177=1,Source!O177+Source!X177+Source!Y177+Source!R177*167/100,0)</f>
        <v>121.5394</v>
      </c>
      <c r="V463">
        <f>IF(Source!BI177=2,Source!O177+Source!X177+Source!Y177+Source!R177*167/100,0)</f>
        <v>0</v>
      </c>
      <c r="W463">
        <f>IF(Source!BI177=3,Source!O177+Source!X177+Source!Y177+Source!R177*167/100,0)</f>
        <v>0</v>
      </c>
      <c r="X463">
        <f>IF(Source!BI177=4,Source!O177+Source!X177+Source!Y177+Source!R177*167/100,0)</f>
        <v>0</v>
      </c>
    </row>
    <row r="464" spans="1:25" ht="23.25">
      <c r="A464" s="26" t="str">
        <f>Source!E179</f>
        <v>63</v>
      </c>
      <c r="B464" s="26" t="s">
        <v>664</v>
      </c>
      <c r="C464" s="9" t="str">
        <f>Source!G179</f>
        <v>ДОБАВЛЯЕТСЯ 2 СМ ДО 6 СМ</v>
      </c>
      <c r="D464" s="27" t="str">
        <f>Source!H179</f>
        <v>100 м2</v>
      </c>
      <c r="E464" s="8">
        <f>ROUND(Source!I179,6)</f>
        <v>0.014</v>
      </c>
      <c r="F464" s="8"/>
      <c r="G464" s="8"/>
      <c r="H464" s="8"/>
      <c r="I464" s="8"/>
      <c r="J464" s="8"/>
      <c r="K464" s="8"/>
      <c r="Y464">
        <v>68</v>
      </c>
    </row>
    <row r="465" spans="1:11" ht="12.75">
      <c r="A465" s="8"/>
      <c r="B465" s="8"/>
      <c r="C465" s="8" t="s">
        <v>644</v>
      </c>
      <c r="D465" s="8"/>
      <c r="E465" s="8"/>
      <c r="F465" s="11">
        <f>Source!AO179</f>
        <v>6.93</v>
      </c>
      <c r="G465" s="28" t="str">
        <f>Source!DG179</f>
        <v>)*2)*1,15</v>
      </c>
      <c r="H465" s="8">
        <f>Source!AV179</f>
        <v>1.047</v>
      </c>
      <c r="I465" s="11">
        <f>ROUND((Source!CT179/IF(Source!BA179&lt;&gt;0,Source!BA179,1)*Source!I179),2)</f>
        <v>0.23</v>
      </c>
      <c r="J465" s="8">
        <f>Source!BA179</f>
        <v>13.09</v>
      </c>
      <c r="K465" s="11"/>
    </row>
    <row r="466" spans="1:11" ht="12.75">
      <c r="A466" s="8"/>
      <c r="B466" s="8"/>
      <c r="C466" s="8" t="s">
        <v>645</v>
      </c>
      <c r="D466" s="8"/>
      <c r="E466" s="8"/>
      <c r="F466" s="11">
        <f>Source!AM179</f>
        <v>17.35</v>
      </c>
      <c r="G466" s="28" t="str">
        <f>Source!DE179</f>
        <v>)*2)*1,15</v>
      </c>
      <c r="H466" s="8">
        <f>Source!AV179</f>
        <v>1.047</v>
      </c>
      <c r="I466" s="11">
        <f>ROUND((Source!CR179/IF(Source!BB179&lt;&gt;0,Source!BB179,1)*Source!I179),2)</f>
        <v>0.58</v>
      </c>
      <c r="J466" s="8">
        <f>Source!BB179</f>
        <v>6.19</v>
      </c>
      <c r="K466" s="11"/>
    </row>
    <row r="467" spans="1:12" ht="12.75">
      <c r="A467" s="8"/>
      <c r="B467" s="8"/>
      <c r="C467" s="8" t="s">
        <v>646</v>
      </c>
      <c r="D467" s="8"/>
      <c r="E467" s="8"/>
      <c r="F467" s="11">
        <f>Source!AN179</f>
        <v>3.57</v>
      </c>
      <c r="G467" s="28" t="str">
        <f>Source!DF179</f>
        <v>)*2)*1,15</v>
      </c>
      <c r="H467" s="8">
        <f>Source!AV179</f>
        <v>1.047</v>
      </c>
      <c r="I467" s="29" t="str">
        <f>CONCATENATE("(",TEXT(+ROUND((Source!CS179/IF(J467&lt;&gt;0,J467,1)*Source!I179),2),"0,00"),")")</f>
        <v>(0,12)</v>
      </c>
      <c r="J467" s="8">
        <f>Source!BS179</f>
        <v>13.09</v>
      </c>
      <c r="K467" s="29"/>
      <c r="L467">
        <f>ROUND(IF(J467&lt;&gt;0,Source!R179/J467,Source!R179),2)</f>
        <v>0.12</v>
      </c>
    </row>
    <row r="468" spans="1:25" ht="36">
      <c r="A468" s="26" t="str">
        <f>Source!E180</f>
        <v>63,1</v>
      </c>
      <c r="B468" s="26" t="str">
        <f>Source!F180</f>
        <v>1.3-3-4</v>
      </c>
      <c r="C468" s="9" t="str">
        <f>Source!G180</f>
        <v>СМЕСИ АСФАЛЬТОБЕТОННЫЕ ДОРОЖНЫЕ ГОРЯЧИЕ КРУПНОЗЕРНИСТЫЕ, ТИП II</v>
      </c>
      <c r="D468" s="27" t="str">
        <f>Source!H180</f>
        <v>т</v>
      </c>
      <c r="E468" s="8">
        <f>ROUND(Source!I180,6)</f>
        <v>0.0336</v>
      </c>
      <c r="F468" s="11">
        <f>IF(Source!AL180=0,Source!AK180,Source!AL180)</f>
        <v>305.75</v>
      </c>
      <c r="G468" s="28" t="str">
        <f>Source!DD180</f>
        <v>)*2</v>
      </c>
      <c r="H468" s="8">
        <f>Source!AW180</f>
        <v>1</v>
      </c>
      <c r="I468" s="11">
        <f>ROUND((Source!CR180/IF(Source!BB180&lt;&gt;0,Source!BB180,1)*Source!I180),2)+ROUND((Source!CQ180/IF(Source!BC180&lt;&gt;0,Source!BC180,1)*Source!I180),2)+ROUND((Source!CT180/IF(Source!BA180&lt;&gt;0,Source!BA180,1)*Source!I180),2)</f>
        <v>20.55</v>
      </c>
      <c r="J468" s="8">
        <f>Source!BC180</f>
        <v>7.05</v>
      </c>
      <c r="K468" s="11"/>
      <c r="O468">
        <f>IF(Source!BI180=1,(ROUND((Source!CR180/IF(Source!BB180&lt;&gt;0,Source!BB180,1)*Source!I180),2)+ROUND((Source!CQ180/IF(Source!BC180&lt;&gt;0,Source!BC180,1)*Source!I180),2)+ROUND((Source!CT180/IF(Source!BA180&lt;&gt;0,Source!BA180,1)*Source!I180),2)),0)</f>
        <v>20.55</v>
      </c>
      <c r="P468">
        <f>IF(Source!BI180=2,(ROUND((Source!CR180/IF(Source!BB180&lt;&gt;0,Source!BB180,1)*Source!I180),2)+ROUND((Source!CQ180/IF(Source!BC180&lt;&gt;0,Source!BC180,1)*Source!I180),2)+ROUND((Source!CT180/IF(Source!BA180&lt;&gt;0,Source!BA180,1)*Source!I180),2)),0)</f>
        <v>0</v>
      </c>
      <c r="Q468">
        <f>IF(Source!BI180=3,(ROUND((Source!CR180/IF(Source!BB180&lt;&gt;0,Source!BB180,1)*Source!I180),2)+ROUND((Source!CQ180/IF(Source!BC180&lt;&gt;0,Source!BC180,1)*Source!I180),2)+ROUND((Source!CT180/IF(Source!BA180&lt;&gt;0,Source!BA180,1)*Source!I180),2)),0)</f>
        <v>0</v>
      </c>
      <c r="R468">
        <f>IF(Source!BI180=4,(ROUND((Source!CR180/IF(Source!BB180&lt;&gt;0,Source!BB180,1)*Source!I180),2)+ROUND((Source!CQ180/IF(Source!BC180&lt;&gt;0,Source!BC180,1)*Source!I180),2)+ROUND((Source!CT180/IF(Source!BA180&lt;&gt;0,Source!BA180,1)*Source!I180),2)),0)</f>
        <v>0</v>
      </c>
      <c r="U468">
        <f>IF(Source!BI180=1,Source!O180+Source!X180+Source!Y180,0)</f>
        <v>144.85</v>
      </c>
      <c r="V468">
        <f>IF(Source!BI180=2,Source!O180+Source!X180+Source!Y180,0)</f>
        <v>0</v>
      </c>
      <c r="W468">
        <f>IF(Source!BI180=3,Source!O180+Source!X180+Source!Y180,0)</f>
        <v>0</v>
      </c>
      <c r="X468">
        <f>IF(Source!BI180=4,Source!O180+Source!X180+Source!Y180,0)</f>
        <v>0</v>
      </c>
      <c r="Y468">
        <v>69</v>
      </c>
    </row>
    <row r="469" spans="1:11" ht="12.75">
      <c r="A469" s="8"/>
      <c r="B469" s="8"/>
      <c r="C469" s="8" t="s">
        <v>647</v>
      </c>
      <c r="D469" s="8" t="s">
        <v>648</v>
      </c>
      <c r="E469" s="8">
        <f>Source!DN179</f>
        <v>161</v>
      </c>
      <c r="F469" s="8"/>
      <c r="G469" s="8"/>
      <c r="H469" s="8"/>
      <c r="I469" s="11">
        <f>ROUND((E469/100)*ROUND((Source!CT179/IF(Source!BA179&lt;&gt;0,Source!BA179,1)*Source!I179),2),2)</f>
        <v>0.37</v>
      </c>
      <c r="J469" s="8">
        <f>Source!AT179</f>
        <v>140</v>
      </c>
      <c r="K469" s="11"/>
    </row>
    <row r="470" spans="1:11" ht="12.75">
      <c r="A470" s="8"/>
      <c r="B470" s="8"/>
      <c r="C470" s="8" t="s">
        <v>649</v>
      </c>
      <c r="D470" s="8" t="s">
        <v>648</v>
      </c>
      <c r="E470" s="8">
        <f>Source!DO179</f>
        <v>107</v>
      </c>
      <c r="F470" s="8"/>
      <c r="G470" s="8"/>
      <c r="H470" s="8"/>
      <c r="I470" s="11">
        <f>ROUND((E470/100)*ROUND((Source!CT179/IF(Source!BA179&lt;&gt;0,Source!BA179,1)*Source!I179),2),2)</f>
        <v>0.25</v>
      </c>
      <c r="J470" s="8">
        <f>Source!AU179</f>
        <v>57</v>
      </c>
      <c r="K470" s="11"/>
    </row>
    <row r="471" spans="1:11" ht="12.75">
      <c r="A471" s="8"/>
      <c r="B471" s="8"/>
      <c r="C471" s="8" t="s">
        <v>650</v>
      </c>
      <c r="D471" s="8" t="s">
        <v>648</v>
      </c>
      <c r="E471" s="8">
        <v>175</v>
      </c>
      <c r="F471" s="8"/>
      <c r="G471" s="8"/>
      <c r="H471" s="8"/>
      <c r="I471" s="11">
        <f>ROUND(ROUND((Source!CS179/IF(Source!BS179&lt;&gt;0,Source!BS179,1)*Source!I179),2)*1.75,2)</f>
        <v>0.21</v>
      </c>
      <c r="J471" s="8">
        <v>167</v>
      </c>
      <c r="K471" s="11"/>
    </row>
    <row r="472" spans="1:11" ht="12.75">
      <c r="A472" s="30"/>
      <c r="B472" s="30"/>
      <c r="C472" s="30" t="s">
        <v>651</v>
      </c>
      <c r="D472" s="30" t="s">
        <v>652</v>
      </c>
      <c r="E472" s="30">
        <f>Source!AQ179</f>
        <v>0.53</v>
      </c>
      <c r="F472" s="30"/>
      <c r="G472" s="31" t="str">
        <f>Source!DI179</f>
        <v>)*2)*1,15</v>
      </c>
      <c r="H472" s="30">
        <f>Source!AV179</f>
        <v>1.047</v>
      </c>
      <c r="I472" s="32">
        <f>ROUND(Source!U179,2)</f>
        <v>0.02</v>
      </c>
      <c r="J472" s="30"/>
      <c r="K472" s="30"/>
    </row>
    <row r="473" spans="9:24" ht="12.75">
      <c r="I473" s="33">
        <f>ROUND((Source!CT179/IF(Source!BA179&lt;&gt;0,Source!BA179,1)*Source!I179),2)+ROUND((Source!CR179/IF(Source!BB179&lt;&gt;0,Source!BB179,1)*Source!I179),2)+ROUND((Source!CQ179/IF(Source!BC179&lt;&gt;0,Source!BC179,1)*Source!I179),2)+SUM(I468:I471)</f>
        <v>22.19</v>
      </c>
      <c r="J473" s="34"/>
      <c r="K473" s="33"/>
      <c r="L473">
        <f>ROUND((Source!CT179/IF(Source!BA179&lt;&gt;0,Source!BA179,1)*Source!I179),2)</f>
        <v>0.23</v>
      </c>
      <c r="M473" s="12">
        <f>I473</f>
        <v>22.19</v>
      </c>
      <c r="N473" s="12">
        <f>K473</f>
        <v>0</v>
      </c>
      <c r="O473">
        <f>ROUND(IF(Source!BI179=1,(ROUND((Source!CT179/IF(Source!BA179&lt;&gt;0,Source!BA179,1)*Source!I179),2)+ROUND((Source!CR179/IF(Source!BB179&lt;&gt;0,Source!BB179,1)*Source!I179),2)+ROUND((Source!CQ179/IF(Source!BC179&lt;&gt;0,Source!BC179,1)*Source!I179),2)+((Source!DN179/100)*ROUND((Source!CT179/IF(Source!BA179&lt;&gt;0,Source!BA179,1)*Source!I179),2))+((Source!DO179/100)*ROUND((Source!CT179/IF(Source!BA179&lt;&gt;0,Source!BA179,1)*Source!I179),2))+(ROUND((Source!CS179/IF(Source!BS179&lt;&gt;0,Source!BS179,1)*Source!I179),2)*1.75)),0),2)</f>
        <v>1.64</v>
      </c>
      <c r="P473">
        <f>ROUND(IF(Source!BI179=2,(ROUND((Source!CT179/IF(Source!BA179&lt;&gt;0,Source!BA179,1)*Source!I179),2)+ROUND((Source!CR179/IF(Source!BB179&lt;&gt;0,Source!BB179,1)*Source!I179),2)+ROUND((Source!CQ179/IF(Source!BC179&lt;&gt;0,Source!BC179,1)*Source!I179),2)+((Source!DN179/100)*ROUND((Source!CT179/IF(Source!BA179&lt;&gt;0,Source!BA179,1)*Source!I179),2))+((Source!DO179/100)*ROUND((Source!CT179/IF(Source!BA179&lt;&gt;0,Source!BA179,1)*Source!I179),2))+(ROUND((Source!CS179/IF(Source!BS179&lt;&gt;0,Source!BS179,1)*Source!I179),2)*1.75)),0),2)</f>
        <v>0</v>
      </c>
      <c r="Q473">
        <f>ROUND(IF(Source!BI179=3,(ROUND((Source!CT179/IF(Source!BA179&lt;&gt;0,Source!BA179,1)*Source!I179),2)+ROUND((Source!CR179/IF(Source!BB179&lt;&gt;0,Source!BB179,1)*Source!I179),2)+ROUND((Source!CQ179/IF(Source!BC179&lt;&gt;0,Source!BC179,1)*Source!I179),2)+((Source!DN179/100)*ROUND((Source!CT179/IF(Source!BA179&lt;&gt;0,Source!BA179,1)*Source!I179),2))+((Source!DO179/100)*ROUND((Source!CT179/IF(Source!BA179&lt;&gt;0,Source!BA179,1)*Source!I179),2))+(ROUND((Source!CS179/IF(Source!BS179&lt;&gt;0,Source!BS179,1)*Source!I179),2)*1.75)),0),2)</f>
        <v>0</v>
      </c>
      <c r="R473">
        <f>ROUND(IF(Source!BI179=4,(ROUND((Source!CT179/IF(Source!BA179&lt;&gt;0,Source!BA179,1)*Source!I179),2)+ROUND((Source!CR179/IF(Source!BB179&lt;&gt;0,Source!BB179,1)*Source!I179),2)+ROUND((Source!CQ179/IF(Source!BC179&lt;&gt;0,Source!BC179,1)*Source!I179),2)+((Source!DN179/100)*ROUND((Source!CT179/IF(Source!BA179&lt;&gt;0,Source!BA179,1)*Source!I179),2))+((Source!DO179/100)*ROUND((Source!CT179/IF(Source!BA179&lt;&gt;0,Source!BA179,1)*Source!I179),2))+(ROUND((Source!CS179/IF(Source!BS179&lt;&gt;0,Source!BS179,1)*Source!I179),2)*1.75)),0),2)</f>
        <v>0</v>
      </c>
      <c r="U473">
        <f>IF(Source!BI179=1,Source!O179+Source!X179+Source!Y179+Source!R179*167/100,0)</f>
        <v>15.338600000000001</v>
      </c>
      <c r="V473">
        <f>IF(Source!BI179=2,Source!O179+Source!X179+Source!Y179+Source!R179*167/100,0)</f>
        <v>0</v>
      </c>
      <c r="W473">
        <f>IF(Source!BI179=3,Source!O179+Source!X179+Source!Y179+Source!R179*167/100,0)</f>
        <v>0</v>
      </c>
      <c r="X473">
        <f>IF(Source!BI179=4,Source!O179+Source!X179+Source!Y179+Source!R179*167/100,0)</f>
        <v>0</v>
      </c>
    </row>
    <row r="474" spans="1:25" ht="48">
      <c r="A474" s="26" t="str">
        <f>Source!E181</f>
        <v>64</v>
      </c>
      <c r="B474" s="26" t="s">
        <v>663</v>
      </c>
      <c r="C474" s="9" t="str">
        <f>Source!G181</f>
        <v>УСТРОЙСТВО ПОКРЫТИЙ ИЗ ГОРЯЧИХ АСФАЛЬТОБЕТОННЫХ СМЕСЕЙ ТОЛЩИНОЙ 4 СМ КОМПЛЕКТОМ МАШИН</v>
      </c>
      <c r="D474" s="27" t="str">
        <f>Source!H181</f>
        <v>100 м2</v>
      </c>
      <c r="E474" s="8">
        <f>ROUND(Source!I181,6)</f>
        <v>0.014</v>
      </c>
      <c r="F474" s="8"/>
      <c r="G474" s="8"/>
      <c r="H474" s="8"/>
      <c r="I474" s="8"/>
      <c r="J474" s="8"/>
      <c r="K474" s="8"/>
      <c r="Y474">
        <v>70</v>
      </c>
    </row>
    <row r="475" spans="1:11" ht="12.75">
      <c r="A475" s="8"/>
      <c r="B475" s="8"/>
      <c r="C475" s="8" t="s">
        <v>644</v>
      </c>
      <c r="D475" s="8"/>
      <c r="E475" s="8"/>
      <c r="F475" s="11">
        <f>Source!AO181</f>
        <v>52.17</v>
      </c>
      <c r="G475" s="28" t="str">
        <f>Source!DG181</f>
        <v>)*1,15</v>
      </c>
      <c r="H475" s="8">
        <f>Source!AV181</f>
        <v>1.047</v>
      </c>
      <c r="I475" s="11">
        <f>ROUND((Source!CT181/IF(Source!BA181&lt;&gt;0,Source!BA181,1)*Source!I181),2)</f>
        <v>0.88</v>
      </c>
      <c r="J475" s="8">
        <f>Source!BA181</f>
        <v>13.09</v>
      </c>
      <c r="K475" s="11"/>
    </row>
    <row r="476" spans="1:11" ht="12.75">
      <c r="A476" s="8"/>
      <c r="B476" s="8"/>
      <c r="C476" s="8" t="s">
        <v>645</v>
      </c>
      <c r="D476" s="8"/>
      <c r="E476" s="8"/>
      <c r="F476" s="11">
        <f>Source!AM181</f>
        <v>419.23</v>
      </c>
      <c r="G476" s="28" t="str">
        <f>Source!DE181</f>
        <v>)*1,15</v>
      </c>
      <c r="H476" s="8">
        <f>Source!AV181</f>
        <v>1.047</v>
      </c>
      <c r="I476" s="11">
        <f>ROUND((Source!CR181/IF(Source!BB181&lt;&gt;0,Source!BB181,1)*Source!I181),2)</f>
        <v>7.07</v>
      </c>
      <c r="J476" s="8">
        <f>Source!BB181</f>
        <v>7.5</v>
      </c>
      <c r="K476" s="11"/>
    </row>
    <row r="477" spans="1:12" ht="12.75">
      <c r="A477" s="8"/>
      <c r="B477" s="8"/>
      <c r="C477" s="8" t="s">
        <v>646</v>
      </c>
      <c r="D477" s="8"/>
      <c r="E477" s="8"/>
      <c r="F477" s="11">
        <f>Source!AN181</f>
        <v>76.22</v>
      </c>
      <c r="G477" s="28" t="str">
        <f>Source!DF181</f>
        <v>)*1,15</v>
      </c>
      <c r="H477" s="8">
        <f>Source!AV181</f>
        <v>1.047</v>
      </c>
      <c r="I477" s="29" t="str">
        <f>CONCATENATE("(",TEXT(+ROUND((Source!CS181/IF(J477&lt;&gt;0,J477,1)*Source!I181),2),"0,00"),")")</f>
        <v>(1,28)</v>
      </c>
      <c r="J477" s="8">
        <f>Source!BS181</f>
        <v>13.09</v>
      </c>
      <c r="K477" s="29"/>
      <c r="L477">
        <f>ROUND(IF(J477&lt;&gt;0,Source!R181/J477,Source!R181),2)</f>
        <v>1.28</v>
      </c>
    </row>
    <row r="478" spans="1:11" ht="12.75">
      <c r="A478" s="8"/>
      <c r="B478" s="8"/>
      <c r="C478" s="8" t="s">
        <v>655</v>
      </c>
      <c r="D478" s="8"/>
      <c r="E478" s="8"/>
      <c r="F478" s="11">
        <f>Source!AL181</f>
        <v>57.83</v>
      </c>
      <c r="G478" s="8">
        <f>Source!DD181</f>
      </c>
      <c r="H478" s="8">
        <f>Source!AW181</f>
        <v>1</v>
      </c>
      <c r="I478" s="11">
        <f>ROUND((Source!CQ181/IF(Source!BC181&lt;&gt;0,Source!BC181,1)*Source!I181),2)</f>
        <v>0.81</v>
      </c>
      <c r="J478" s="8">
        <f>Source!BC181</f>
        <v>7.75</v>
      </c>
      <c r="K478" s="11"/>
    </row>
    <row r="479" spans="1:25" ht="36">
      <c r="A479" s="26" t="str">
        <f>Source!E182</f>
        <v>64,1</v>
      </c>
      <c r="B479" s="26" t="str">
        <f>Source!F182</f>
        <v>1.3-3-11</v>
      </c>
      <c r="C479" s="9" t="str">
        <f>Source!G182</f>
        <v>СМЕСИ АСФАЛЬТОБЕТОННЫЕ ДОРОЖНЫЕ ГОРЯЧИЕ ПЕСЧАНЫЕ, ТИП Д</v>
      </c>
      <c r="D479" s="27" t="str">
        <f>Source!H182</f>
        <v>т</v>
      </c>
      <c r="E479" s="8">
        <f>ROUND(Source!I182,6)</f>
        <v>0.13062</v>
      </c>
      <c r="F479" s="11">
        <f>IF(Source!AL182=0,Source!AK182,Source!AL182)</f>
        <v>301.52</v>
      </c>
      <c r="G479" s="28">
        <f>Source!DD182</f>
      </c>
      <c r="H479" s="8">
        <f>Source!AW182</f>
        <v>1</v>
      </c>
      <c r="I479" s="11">
        <f>ROUND((Source!CR182/IF(Source!BB182&lt;&gt;0,Source!BB182,1)*Source!I182),2)+ROUND((Source!CQ182/IF(Source!BC182&lt;&gt;0,Source!BC182,1)*Source!I182),2)+ROUND((Source!CT182/IF(Source!BA182&lt;&gt;0,Source!BA182,1)*Source!I182),2)</f>
        <v>39.38</v>
      </c>
      <c r="J479" s="8">
        <f>Source!BC182</f>
        <v>6.67</v>
      </c>
      <c r="K479" s="11"/>
      <c r="O479">
        <f>IF(Source!BI182=1,(ROUND((Source!CR182/IF(Source!BB182&lt;&gt;0,Source!BB182,1)*Source!I182),2)+ROUND((Source!CQ182/IF(Source!BC182&lt;&gt;0,Source!BC182,1)*Source!I182),2)+ROUND((Source!CT182/IF(Source!BA182&lt;&gt;0,Source!BA182,1)*Source!I182),2)),0)</f>
        <v>39.38</v>
      </c>
      <c r="P479">
        <f>IF(Source!BI182=2,(ROUND((Source!CR182/IF(Source!BB182&lt;&gt;0,Source!BB182,1)*Source!I182),2)+ROUND((Source!CQ182/IF(Source!BC182&lt;&gt;0,Source!BC182,1)*Source!I182),2)+ROUND((Source!CT182/IF(Source!BA182&lt;&gt;0,Source!BA182,1)*Source!I182),2)),0)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Q479">
        <f>IF(Source!BI182=3,(ROUND((Source!CR182/IF(Source!BB182&lt;&gt;0,Source!BB182,1)*Source!I182),2)+ROUND((Source!CQ182/IF(Source!BC182&lt;&gt;0,Source!BC182,1)*Source!I182),2)+ROUND((Source!CT182/IF(Source!BA182&lt;&gt;0,Source!BA182,1)*Source!I182),2)),0)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R479">
        <f>IF(Source!BI182=4,(ROUND((Source!CR182/IF(Source!BB182&lt;&gt;0,Source!BB182,1)*Source!I182),2)+ROUND((Source!CQ182/IF(Source!BC182&lt;&gt;0,Source!BC182,1)*Source!I182),2)+ROUND((Source!CT182/IF(Source!BA182&lt;&gt;0,Source!BA182,1)*Source!I182),2)),0)</f>
        <v>0</v>
      </c>
      <c r="U479">
        <f>IF(Source!BI182=1,Source!O182+Source!X182+Source!Y182,0)</f>
        <v>262.69</v>
      </c>
      <c r="V479">
        <f>IF(Source!BI182=2,Source!O182+Source!X182+Source!Y182,0)</f>
        <v>0</v>
      </c>
      <c r="W479">
        <f>IF(Source!BI182=3,Source!O182+Source!X182+Source!Y182,0)</f>
        <v>0</v>
      </c>
      <c r="X479">
        <f>IF(Source!BI182=4,Source!O182+Source!X182+Source!Y182,0)</f>
        <v>0</v>
      </c>
      <c r="Y479">
        <v>71</v>
      </c>
    </row>
    <row r="480" spans="1:11" ht="12.75">
      <c r="A480" s="8"/>
      <c r="B480" s="8"/>
      <c r="C480" s="8" t="s">
        <v>647</v>
      </c>
      <c r="D480" s="8" t="s">
        <v>648</v>
      </c>
      <c r="E480" s="8">
        <f>Source!DN181</f>
        <v>161</v>
      </c>
      <c r="F480" s="8"/>
      <c r="G480" s="8"/>
      <c r="H480" s="8"/>
      <c r="I480" s="11">
        <f>ROUND((E480/100)*ROUND((Source!CT181/IF(Source!BA181&lt;&gt;0,Source!BA181,1)*Source!I181),2),2)</f>
        <v>1.42</v>
      </c>
      <c r="J480" s="8">
        <f>Source!AT181</f>
        <v>140</v>
      </c>
      <c r="K480" s="11"/>
    </row>
    <row r="481" spans="1:11" ht="12.75">
      <c r="A481" s="8"/>
      <c r="B481" s="8"/>
      <c r="C481" s="8" t="s">
        <v>649</v>
      </c>
      <c r="D481" s="8" t="s">
        <v>648</v>
      </c>
      <c r="E481" s="8">
        <f>Source!DO181</f>
        <v>107</v>
      </c>
      <c r="F481" s="8"/>
      <c r="G481" s="8"/>
      <c r="H481" s="8"/>
      <c r="I481" s="11">
        <f>ROUND((E481/100)*ROUND((Source!CT181/IF(Source!BA181&lt;&gt;0,Source!BA181,1)*Source!I181),2),2)</f>
        <v>0.94</v>
      </c>
      <c r="J481" s="8">
        <f>Source!AU181</f>
        <v>57</v>
      </c>
      <c r="K481" s="11"/>
    </row>
    <row r="482" spans="1:11" ht="12.75">
      <c r="A482" s="8"/>
      <c r="B482" s="8"/>
      <c r="C482" s="8" t="s">
        <v>650</v>
      </c>
      <c r="D482" s="8" t="s">
        <v>648</v>
      </c>
      <c r="E482" s="8">
        <v>175</v>
      </c>
      <c r="F482" s="8"/>
      <c r="G482" s="8"/>
      <c r="H482" s="8"/>
      <c r="I482" s="11">
        <f>ROUND(ROUND((Source!CS181/IF(Source!BS181&lt;&gt;0,Source!BS181,1)*Source!I181),2)*1.75,2)</f>
        <v>2.24</v>
      </c>
      <c r="J482" s="8">
        <v>167</v>
      </c>
      <c r="K482" s="11"/>
    </row>
    <row r="483" spans="1:11" ht="12.75">
      <c r="A483" s="30"/>
      <c r="B483" s="30"/>
      <c r="C483" s="30" t="s">
        <v>651</v>
      </c>
      <c r="D483" s="30" t="s">
        <v>652</v>
      </c>
      <c r="E483" s="30">
        <f>Source!AQ181</f>
        <v>4.29</v>
      </c>
      <c r="F483" s="30"/>
      <c r="G483" s="31" t="str">
        <f>Source!DI181</f>
        <v>)*1,15</v>
      </c>
      <c r="H483" s="30">
        <f>Source!AV181</f>
        <v>1.047</v>
      </c>
      <c r="I483" s="32">
        <f>ROUND(Source!U181,2)</f>
        <v>0.07</v>
      </c>
      <c r="J483" s="30"/>
      <c r="K483" s="30"/>
    </row>
    <row r="484" spans="9:24" ht="12.75">
      <c r="I484" s="33">
        <f>ROUND((Source!CT181/IF(Source!BA181&lt;&gt;0,Source!BA181,1)*Source!I181),2)+ROUND((Source!CR181/IF(Source!BB181&lt;&gt;0,Source!BB181,1)*Source!I181),2)+ROUND((Source!CQ181/IF(Source!BC181&lt;&gt;0,Source!BC181,1)*Source!I181),2)+SUM(I479:I482)</f>
        <v>52.74</v>
      </c>
      <c r="J484" s="34"/>
      <c r="K484" s="33"/>
      <c r="L484">
        <f>ROUND((Source!CT181/IF(Source!BA181&lt;&gt;0,Source!BA181,1)*Source!I181),2)</f>
        <v>0.88</v>
      </c>
      <c r="M484" s="12">
        <f>I484</f>
        <v>52.74</v>
      </c>
      <c r="N484" s="12">
        <f>K484</f>
        <v>0</v>
      </c>
      <c r="O484">
        <f>ROUND(IF(Source!BI181=1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13.36</v>
      </c>
      <c r="P484">
        <f>ROUND(IF(Source!BI181=2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Q484">
        <f>ROUND(IF(Source!BI181=3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R484">
        <f>ROUND(IF(Source!BI181=4,(ROUND((Source!CT181/IF(Source!BA181&lt;&gt;0,Source!BA181,1)*Source!I181),2)+ROUND((Source!CR181/IF(Source!BB181&lt;&gt;0,Source!BB181,1)*Source!I181),2)+ROUND((Source!CQ181/IF(Source!BC181&lt;&gt;0,Source!BC181,1)*Source!I181),2)+((Source!DN181/100)*ROUND((Source!CT181/IF(Source!BA181&lt;&gt;0,Source!BA181,1)*Source!I181),2))+((Source!DO181/100)*ROUND((Source!CT181/IF(Source!BA181&lt;&gt;0,Source!BA181,1)*Source!I181),2))+(ROUND((Source!CS181/IF(Source!BS181&lt;&gt;0,Source!BS181,1)*Source!I181),2)*1.75)),0),2)</f>
        <v>0</v>
      </c>
      <c r="U484">
        <f>IF(Source!BI181=1,Source!O181+Source!X181+Source!Y181+Source!R181*167/100,0)</f>
        <v>121.5394</v>
      </c>
      <c r="V484">
        <f>IF(Source!BI181=2,Source!O181+Source!X181+Source!Y181+Source!R181*167/100,0)</f>
        <v>0</v>
      </c>
      <c r="W484">
        <f>IF(Source!BI181=3,Source!O181+Source!X181+Source!Y181+Source!R181*167/100,0)</f>
        <v>0</v>
      </c>
      <c r="X484">
        <f>IF(Source!BI181=4,Source!O181+Source!X181+Source!Y181+Source!R181*167/100,0)</f>
        <v>0</v>
      </c>
    </row>
    <row r="485" spans="1:25" ht="48">
      <c r="A485" s="26" t="str">
        <f>Source!E183</f>
        <v>65</v>
      </c>
      <c r="B485" s="26" t="s">
        <v>665</v>
      </c>
      <c r="C485" s="9" t="str">
        <f>Source!G183</f>
        <v>УСТРОЙСТВО МОНОЛИТНЫХ БЕТОННЫХ ФУНДАМЕНТОВ ЗАГЛУБЛЕННЫХ НА РАЗНЫХ ОТМЕТКАХ С ОПОРОЙ</v>
      </c>
      <c r="D485" s="27" t="str">
        <f>Source!H183</f>
        <v>м3</v>
      </c>
      <c r="E485" s="8">
        <f>ROUND(Source!I183,6)</f>
        <v>2</v>
      </c>
      <c r="F485" s="8"/>
      <c r="G485" s="8"/>
      <c r="H485" s="8"/>
      <c r="I485" s="8"/>
      <c r="J485" s="8"/>
      <c r="K485" s="8"/>
      <c r="Y485">
        <v>72</v>
      </c>
    </row>
    <row r="486" spans="1:11" ht="12.75">
      <c r="A486" s="8"/>
      <c r="B486" s="8"/>
      <c r="C486" s="8" t="s">
        <v>644</v>
      </c>
      <c r="D486" s="8"/>
      <c r="E486" s="8"/>
      <c r="F486" s="11">
        <f>Source!AO183</f>
        <v>37.01</v>
      </c>
      <c r="G486" s="28" t="str">
        <f>Source!DG183</f>
        <v>)*1,15</v>
      </c>
      <c r="H486" s="8">
        <f>Source!AV183</f>
        <v>1.087</v>
      </c>
      <c r="I486" s="11">
        <f>ROUND((Source!CT183/IF(Source!BA183&lt;&gt;0,Source!BA183,1)*Source!I183),2)</f>
        <v>92.53</v>
      </c>
      <c r="J486" s="8">
        <f>Source!BA183</f>
        <v>13.09</v>
      </c>
      <c r="K486" s="11"/>
    </row>
    <row r="487" spans="1:11" ht="12.75">
      <c r="A487" s="8"/>
      <c r="B487" s="8"/>
      <c r="C487" s="8" t="s">
        <v>645</v>
      </c>
      <c r="D487" s="8"/>
      <c r="E487" s="8"/>
      <c r="F487" s="11">
        <f>Source!AM183</f>
        <v>18.74</v>
      </c>
      <c r="G487" s="28" t="str">
        <f>Source!DE183</f>
        <v>)*1,15</v>
      </c>
      <c r="H487" s="8">
        <f>Source!AV183</f>
        <v>1.087</v>
      </c>
      <c r="I487" s="11">
        <f>ROUND((Source!CR183/IF(Source!BB183&lt;&gt;0,Source!BB183,1)*Source!I183),2)</f>
        <v>46.85</v>
      </c>
      <c r="J487" s="8">
        <f>Source!BB183</f>
        <v>7.84</v>
      </c>
      <c r="K487" s="11"/>
    </row>
    <row r="488" spans="1:12" ht="12.75">
      <c r="A488" s="8"/>
      <c r="B488" s="8"/>
      <c r="C488" s="8" t="s">
        <v>646</v>
      </c>
      <c r="D488" s="8"/>
      <c r="E488" s="8"/>
      <c r="F488" s="11">
        <f>Source!AN183</f>
        <v>4.52</v>
      </c>
      <c r="G488" s="28" t="str">
        <f>Source!DF183</f>
        <v>)*1,15</v>
      </c>
      <c r="H488" s="8">
        <f>Source!AV183</f>
        <v>1.087</v>
      </c>
      <c r="I488" s="29" t="str">
        <f>CONCATENATE("(",TEXT(+ROUND((Source!CS183/IF(J488&lt;&gt;0,J488,1)*Source!I183),2),"0,00"),")")</f>
        <v>(11,30)</v>
      </c>
      <c r="J488" s="8">
        <f>Source!BS183</f>
        <v>13.09</v>
      </c>
      <c r="K488" s="29"/>
      <c r="L488">
        <f>ROUND(IF(J488&lt;&gt;0,Source!R183/J488,Source!R183),2)</f>
        <v>11.3</v>
      </c>
    </row>
    <row r="489" spans="1:25" ht="84">
      <c r="A489" s="26" t="str">
        <f>Source!E184</f>
        <v>65,1</v>
      </c>
      <c r="B489" s="26" t="str">
        <f>Source!F184</f>
        <v>1.3-4-2</v>
      </c>
      <c r="C489" s="9" t="str">
        <f>Source!G184</f>
        <v>АРМАТУРНЫЕ ЗАГОТОВКИ (СТЕРЖНИ, ХОМУТЫ И Т.П.), НЕ СОБРАННЫЕ В КАРКАСЫ ИЛИ СЕТКИ, УГЛЕРОДИСТАЯ СТАЛЬ ОБЩЕГО НАЗНАЧЕНИЯ И АРМАТУРНАЯ СТАЛЬ ГЛАДКАЯ, КЛАСС А-I, ДИАМЕТР 8 ММ</v>
      </c>
      <c r="D489" s="27" t="str">
        <f>Source!H184</f>
        <v>т</v>
      </c>
      <c r="E489" s="8">
        <f>ROUND(Source!I184,6)</f>
        <v>0.0042</v>
      </c>
      <c r="F489" s="11">
        <f>IF(Source!AL184=0,Source!AK184,Source!AL184)</f>
        <v>6385.24</v>
      </c>
      <c r="G489" s="28">
        <f>Source!DD184</f>
      </c>
      <c r="H489" s="8">
        <f>Source!AW184</f>
        <v>1</v>
      </c>
      <c r="I489" s="11">
        <f>ROUND((Source!CR184/IF(Source!BB184&lt;&gt;0,Source!BB184,1)*Source!I184),2)+ROUND((Source!CQ184/IF(Source!BC184&lt;&gt;0,Source!BC184,1)*Source!I184),2)+ROUND((Source!CT184/IF(Source!BA184&lt;&gt;0,Source!BA184,1)*Source!I184),2)</f>
        <v>26.82</v>
      </c>
      <c r="J489" s="8">
        <f>Source!BC184</f>
        <v>5.21</v>
      </c>
      <c r="K489" s="11"/>
      <c r="O489">
        <f>IF(Source!BI184=1,(ROUND((Source!CR184/IF(Source!BB184&lt;&gt;0,Source!BB184,1)*Source!I184),2)+ROUND((Source!CQ184/IF(Source!BC184&lt;&gt;0,Source!BC184,1)*Source!I184),2)+ROUND((Source!CT184/IF(Source!BA184&lt;&gt;0,Source!BA184,1)*Source!I184),2)),0)</f>
        <v>26.82</v>
      </c>
      <c r="P489">
        <f>IF(Source!BI184=2,(ROUND((Source!CR184/IF(Source!BB184&lt;&gt;0,Source!BB184,1)*Source!I184),2)+ROUND((Source!CQ184/IF(Source!BC184&lt;&gt;0,Source!BC184,1)*Source!I184),2)+ROUND((Source!CT184/IF(Source!BA184&lt;&gt;0,Source!BA184,1)*Source!I184),2)),0)</f>
        <v>0</v>
      </c>
      <c r="Q489">
        <f>IF(Source!BI184=3,(ROUND((Source!CR184/IF(Source!BB184&lt;&gt;0,Source!BB184,1)*Source!I184),2)+ROUND((Source!CQ184/IF(Source!BC184&lt;&gt;0,Source!BC184,1)*Source!I184),2)+ROUND((Source!CT184/IF(Source!BA184&lt;&gt;0,Source!BA184,1)*Source!I184),2)),0)</f>
        <v>0</v>
      </c>
      <c r="R489">
        <f>IF(Source!BI184=4,(ROUND((Source!CR184/IF(Source!BB184&lt;&gt;0,Source!BB184,1)*Source!I184),2)+ROUND((Source!CQ184/IF(Source!BC184&lt;&gt;0,Source!BC184,1)*Source!I184),2)+ROUND((Source!CT184/IF(Source!BA184&lt;&gt;0,Source!BA184,1)*Source!I184),2)),0)</f>
        <v>0</v>
      </c>
      <c r="U489">
        <f>IF(Source!BI184=1,Source!O184+Source!X184+Source!Y184,0)</f>
        <v>139.72</v>
      </c>
      <c r="V489">
        <f>IF(Source!BI184=2,Source!O184+Source!X184+Source!Y184,0)</f>
        <v>0</v>
      </c>
      <c r="W489">
        <f>IF(Source!BI184=3,Source!O184+Source!X184+Source!Y184,0)</f>
        <v>0</v>
      </c>
      <c r="X489">
        <f>IF(Source!BI184=4,Source!O184+Source!X184+Source!Y184,0)</f>
        <v>0</v>
      </c>
      <c r="Y489">
        <v>73</v>
      </c>
    </row>
    <row r="490" spans="1:25" ht="60">
      <c r="A490" s="26" t="str">
        <f>Source!E185</f>
        <v>65,2</v>
      </c>
      <c r="B490" s="26" t="str">
        <f>Source!F185</f>
        <v>1.3-1-38</v>
      </c>
      <c r="C490" s="9" t="str">
        <f>Source!G185</f>
        <v>СМЕСИ БЕТОННЫЕ, БСГ, ТЯЖЕЛОГО БЕТОНА НА ГРАНИТНОМ ЩЕБНЕ, КЛАСС ПРОЧНОСТИ: В15 (М200); П3, ФРАКЦИЯ 5-20, F50-100, W0-2</v>
      </c>
      <c r="D490" s="27" t="str">
        <f>Source!H185</f>
        <v>м3</v>
      </c>
      <c r="E490" s="8">
        <f>ROUND(Source!I185,6)</f>
        <v>2.04</v>
      </c>
      <c r="F490" s="11">
        <f>IF(Source!AL185=0,Source!AK185,Source!AL185)</f>
        <v>704.89</v>
      </c>
      <c r="G490" s="28">
        <f>Source!DD185</f>
      </c>
      <c r="H490" s="8">
        <f>Source!AW185</f>
        <v>1</v>
      </c>
      <c r="I490" s="11">
        <f>ROUND((Source!CR185/IF(Source!BB185&lt;&gt;0,Source!BB185,1)*Source!I185),2)+ROUND((Source!CQ185/IF(Source!BC185&lt;&gt;0,Source!BC185,1)*Source!I185),2)+ROUND((Source!CT185/IF(Source!BA185&lt;&gt;0,Source!BA185,1)*Source!I185),2)</f>
        <v>1437.98</v>
      </c>
      <c r="J490" s="8">
        <f>Source!BC185</f>
        <v>4.52</v>
      </c>
      <c r="K490" s="11"/>
      <c r="O490">
        <f>IF(Source!BI185=1,(ROUND((Source!CR185/IF(Source!BB185&lt;&gt;0,Source!BB185,1)*Source!I185),2)+ROUND((Source!CQ185/IF(Source!BC185&lt;&gt;0,Source!BC185,1)*Source!I185),2)+ROUND((Source!CT185/IF(Source!BA185&lt;&gt;0,Source!BA185,1)*Source!I185),2)),0)</f>
        <v>1437.98</v>
      </c>
      <c r="P490">
        <f>IF(Source!BI185=2,(ROUND((Source!CR185/IF(Source!BB185&lt;&gt;0,Source!BB185,1)*Source!I185),2)+ROUND((Source!CQ185/IF(Source!BC185&lt;&gt;0,Source!BC185,1)*Source!I185),2)+ROUND((Source!CT185/IF(Source!BA185&lt;&gt;0,Source!BA185,1)*Source!I185),2)),0)</f>
        <v>0</v>
      </c>
      <c r="Q490">
        <f>IF(Source!BI185=3,(ROUND((Source!CR185/IF(Source!BB185&lt;&gt;0,Source!BB185,1)*Source!I185),2)+ROUND((Source!CQ185/IF(Source!BC185&lt;&gt;0,Source!BC185,1)*Source!I185),2)+ROUND((Source!CT185/IF(Source!BA185&lt;&gt;0,Source!BA185,1)*Source!I185),2)),0)</f>
        <v>0</v>
      </c>
      <c r="R490">
        <f>IF(Source!BI185=4,(ROUND((Source!CR185/IF(Source!BB185&lt;&gt;0,Source!BB185,1)*Source!I185),2)+ROUND((Source!CQ185/IF(Source!BC185&lt;&gt;0,Source!BC185,1)*Source!I185),2)+ROUND((Source!CT185/IF(Source!BA185&lt;&gt;0,Source!BA185,1)*Source!I185),2)),0)</f>
        <v>0</v>
      </c>
      <c r="U490">
        <f>IF(Source!BI185=1,Source!O185+Source!X185+Source!Y185,0)</f>
        <v>6499.65</v>
      </c>
      <c r="V490">
        <f>IF(Source!BI185=2,Source!O185+Source!X185+Source!Y185,0)</f>
        <v>0</v>
      </c>
      <c r="W490">
        <f>IF(Source!BI185=3,Source!O185+Source!X185+Source!Y185,0)</f>
        <v>0</v>
      </c>
      <c r="X490">
        <f>IF(Source!BI185=4,Source!O185+Source!X185+Source!Y185,0)</f>
        <v>0</v>
      </c>
      <c r="Y490">
        <v>74</v>
      </c>
    </row>
    <row r="491" spans="1:11" ht="12.75">
      <c r="A491" s="8"/>
      <c r="B491" s="8"/>
      <c r="C491" s="8" t="s">
        <v>647</v>
      </c>
      <c r="D491" s="8" t="s">
        <v>648</v>
      </c>
      <c r="E491" s="8">
        <f>Source!DN183</f>
        <v>114</v>
      </c>
      <c r="F491" s="8"/>
      <c r="G491" s="8"/>
      <c r="H491" s="8"/>
      <c r="I491" s="11">
        <f>ROUND((E491/100)*ROUND((Source!CT183/IF(Source!BA183&lt;&gt;0,Source!BA183,1)*Source!I183),2),2)</f>
        <v>105.48</v>
      </c>
      <c r="J491" s="8">
        <f>Source!AT183</f>
        <v>98</v>
      </c>
      <c r="K491" s="11"/>
    </row>
    <row r="492" spans="1:11" ht="12.75">
      <c r="A492" s="8"/>
      <c r="B492" s="8"/>
      <c r="C492" s="8" t="s">
        <v>649</v>
      </c>
      <c r="D492" s="8" t="s">
        <v>648</v>
      </c>
      <c r="E492" s="8">
        <f>Source!DO183</f>
        <v>80</v>
      </c>
      <c r="F492" s="8"/>
      <c r="G492" s="8"/>
      <c r="H492" s="8"/>
      <c r="I492" s="11">
        <f>ROUND((E492/100)*ROUND((Source!CT183/IF(Source!BA183&lt;&gt;0,Source!BA183,1)*Source!I183),2),2)</f>
        <v>74.02</v>
      </c>
      <c r="J492" s="8">
        <f>Source!AU183</f>
        <v>42</v>
      </c>
      <c r="K492" s="11"/>
    </row>
    <row r="493" spans="1:11" ht="12.75">
      <c r="A493" s="8"/>
      <c r="B493" s="8"/>
      <c r="C493" s="8" t="s">
        <v>650</v>
      </c>
      <c r="D493" s="8" t="s">
        <v>648</v>
      </c>
      <c r="E493" s="8">
        <v>175</v>
      </c>
      <c r="F493" s="8"/>
      <c r="G493" s="8"/>
      <c r="H493" s="8"/>
      <c r="I493" s="11">
        <f>ROUND(ROUND((Source!CS183/IF(Source!BS183&lt;&gt;0,Source!BS183,1)*Source!I183),2)*1.75,2)</f>
        <v>19.78</v>
      </c>
      <c r="J493" s="8">
        <v>167</v>
      </c>
      <c r="K493" s="11"/>
    </row>
    <row r="494" spans="1:11" ht="12.75">
      <c r="A494" s="30"/>
      <c r="B494" s="30"/>
      <c r="C494" s="30" t="s">
        <v>651</v>
      </c>
      <c r="D494" s="30" t="s">
        <v>652</v>
      </c>
      <c r="E494" s="30">
        <f>Source!AQ183</f>
        <v>3.31</v>
      </c>
      <c r="F494" s="30"/>
      <c r="G494" s="31" t="str">
        <f>Source!DI183</f>
        <v>)*1,15</v>
      </c>
      <c r="H494" s="30">
        <f>Source!AV183</f>
        <v>1.087</v>
      </c>
      <c r="I494" s="32">
        <f>ROUND(Source!U183,2)</f>
        <v>8.28</v>
      </c>
      <c r="J494" s="30"/>
      <c r="K494" s="30"/>
    </row>
    <row r="495" spans="9:24" ht="12.75">
      <c r="I495" s="33">
        <f>ROUND((Source!CT183/IF(Source!BA183&lt;&gt;0,Source!BA183,1)*Source!I183),2)+ROUND((Source!CR183/IF(Source!BB183&lt;&gt;0,Source!BB183,1)*Source!I183),2)+ROUND((Source!CQ183/IF(Source!BC183&lt;&gt;0,Source!BC183,1)*Source!I183),2)+SUM(I489:I493)</f>
        <v>1803.46</v>
      </c>
      <c r="J495" s="34"/>
      <c r="K495" s="33"/>
      <c r="L495">
        <f>ROUND((Source!CT183/IF(Source!BA183&lt;&gt;0,Source!BA183,1)*Source!I183),2)</f>
        <v>92.53</v>
      </c>
      <c r="M495" s="12">
        <f>I495</f>
        <v>1803.46</v>
      </c>
      <c r="N495" s="12">
        <f>K495</f>
        <v>0</v>
      </c>
      <c r="O495">
        <f>ROUND(IF(Source!BI183=1,(ROUND((Source!CT183/IF(Source!BA183&lt;&gt;0,Source!BA183,1)*Source!I183),2)+ROUND((Source!CR183/IF(Source!BB183&lt;&gt;0,Source!BB183,1)*Source!I183),2)+ROUND((Source!CQ183/IF(Source!BC183&lt;&gt;0,Source!BC183,1)*Source!I183),2)+((Source!DN183/100)*ROUND((Source!CT183/IF(Source!BA183&lt;&gt;0,Source!BA183,1)*Source!I183),2))+((Source!DO183/100)*ROUND((Source!CT183/IF(Source!BA183&lt;&gt;0,Source!BA183,1)*Source!I183),2))+(ROUND((Source!CS183/IF(Source!BS183&lt;&gt;0,Source!BS183,1)*Source!I183),2)*1.75)),0),2)</f>
        <v>338.66</v>
      </c>
      <c r="P495">
        <f>ROUND(IF(Source!BI183=2,(ROUND((Source!CT183/IF(Source!BA183&lt;&gt;0,Source!BA183,1)*Source!I183),2)+ROUND((Source!CR183/IF(Source!BB183&lt;&gt;0,Source!BB183,1)*Source!I183),2)+ROUND((Source!CQ183/IF(Source!BC183&lt;&gt;0,Source!BC183,1)*Source!I183),2)+((Source!DN183/100)*ROUND((Source!CT183/IF(Source!BA183&lt;&gt;0,Source!BA183,1)*Source!I183),2))+((Source!DO183/100)*ROUND((Source!CT183/IF(Source!BA183&lt;&gt;0,Source!BA183,1)*Source!I183),2))+(ROUND((Source!CS183/IF(Source!BS183&lt;&gt;0,Source!BS183,1)*Source!I183),2)*1.75)),0),2)</f>
        <v>0</v>
      </c>
      <c r="Q495">
        <f>ROUND(IF(Source!BI183=3,(ROUND((Source!CT183/IF(Source!BA183&lt;&gt;0,Source!BA183,1)*Source!I183),2)+ROUND((Source!CR183/IF(Source!BB183&lt;&gt;0,Source!BB183,1)*Source!I183),2)+ROUND((Source!CQ183/IF(Source!BC183&lt;&gt;0,Source!BC183,1)*Source!I183),2)+((Source!DN183/100)*ROUND((Source!CT183/IF(Source!BA183&lt;&gt;0,Source!BA183,1)*Source!I183),2))+((Source!DO183/100)*ROUND((Source!CT183/IF(Source!BA183&lt;&gt;0,Source!BA183,1)*Source!I183),2))+(ROUND((Source!CS183/IF(Source!BS183&lt;&gt;0,Source!BS183,1)*Source!I183),2)*1.75)),0),2)</f>
        <v>0</v>
      </c>
      <c r="R495">
        <f>ROUND(IF(Source!BI183=4,(ROUND((Source!CT183/IF(Source!BA183&lt;&gt;0,Source!BA183,1)*Source!I183),2)+ROUND((Source!CR183/IF(Source!BB183&lt;&gt;0,Source!BB183,1)*Source!I183),2)+ROUND((Source!CQ183/IF(Source!BC183&lt;&gt;0,Source!BC183,1)*Source!I183),2)+((Source!DN183/100)*ROUND((Source!CT183/IF(Source!BA183&lt;&gt;0,Source!BA183,1)*Source!I183),2))+((Source!DO183/100)*ROUND((Source!CT183/IF(Source!BA183&lt;&gt;0,Source!BA183,1)*Source!I183),2))+(ROUND((Source!CS183/IF(Source!BS183&lt;&gt;0,Source!BS183,1)*Source!I183),2)*1.75)),0),2)</f>
        <v>0</v>
      </c>
      <c r="U495">
        <f>IF(Source!BI183=1,Source!O183+Source!X183+Source!Y183+Source!R183*167/100,0)</f>
        <v>3521.2264</v>
      </c>
      <c r="V495">
        <f>IF(Source!BI183=2,Source!O183+Source!X183+Source!Y183+Source!R183*167/100,0)</f>
        <v>0</v>
      </c>
      <c r="W495">
        <f>IF(Source!BI183=3,Source!O183+Source!X183+Source!Y183+Source!R183*167/100,0)</f>
        <v>0</v>
      </c>
      <c r="X495">
        <f>IF(Source!BI183=4,Source!O183+Source!X183+Source!Y183+Source!R183*167/100,0)</f>
        <v>0</v>
      </c>
    </row>
    <row r="496" spans="1:25" ht="96">
      <c r="A496" s="26" t="str">
        <f>Source!E186</f>
        <v>66</v>
      </c>
      <c r="B496" s="26" t="s">
        <v>666</v>
      </c>
      <c r="C496" s="9" t="str">
        <f>Source!G186</f>
        <v>УСТАНОВКА ОПОР КОНТАКТНОЙ СЕТИ, УЛИЧНОГО ОСВЕЩЕНИЯ, СВЕТОФОРНЫХ С БУРЕНИЕМ КОТЛОВАНОВ ПОД МОНОЛИТНЫЕ ФУНДАМЕНТЫ СТАЛЬНЫХ МАССОЙ ДО 1 Т В ГРУППЕ ГРУНТА 2 ПРИ ГЛУБИНЕ БУРЕНИЯ, М 2</v>
      </c>
      <c r="D496" s="27" t="str">
        <f>Source!H186</f>
        <v>опора</v>
      </c>
      <c r="E496" s="8">
        <f>ROUND(Source!I186,6)</f>
        <v>1</v>
      </c>
      <c r="F496" s="8"/>
      <c r="G496" s="8"/>
      <c r="H496" s="8"/>
      <c r="I496" s="8"/>
      <c r="J496" s="8"/>
      <c r="K496" s="8"/>
      <c r="Y496">
        <v>75</v>
      </c>
    </row>
    <row r="497" spans="1:11" ht="12.75">
      <c r="A497" s="8"/>
      <c r="B497" s="8"/>
      <c r="C497" s="8" t="s">
        <v>644</v>
      </c>
      <c r="D497" s="8"/>
      <c r="E497" s="8"/>
      <c r="F497" s="11">
        <f>Source!AO186</f>
        <v>25.27</v>
      </c>
      <c r="G497" s="28" t="str">
        <f>Source!DG186</f>
        <v>)*1,15</v>
      </c>
      <c r="H497" s="8">
        <f>Source!AV186</f>
        <v>1.087</v>
      </c>
      <c r="I497" s="11">
        <f>ROUND((Source!CT186/IF(Source!BA186&lt;&gt;0,Source!BA186,1)*Source!I186),2)</f>
        <v>31.59</v>
      </c>
      <c r="J497" s="8">
        <f>Source!BA186</f>
        <v>13.09</v>
      </c>
      <c r="K497" s="11"/>
    </row>
    <row r="498" spans="1:11" ht="12.75">
      <c r="A498" s="8"/>
      <c r="B498" s="8"/>
      <c r="C498" s="8" t="s">
        <v>645</v>
      </c>
      <c r="D498" s="8"/>
      <c r="E498" s="8"/>
      <c r="F498" s="11">
        <f>Source!AM186</f>
        <v>155.92</v>
      </c>
      <c r="G498" s="28" t="str">
        <f>Source!DE186</f>
        <v>)*1,15</v>
      </c>
      <c r="H498" s="8">
        <f>Source!AV186</f>
        <v>1.087</v>
      </c>
      <c r="I498" s="11">
        <f>ROUND((Source!CR186/IF(Source!BB186&lt;&gt;0,Source!BB186,1)*Source!I186),2)</f>
        <v>194.91</v>
      </c>
      <c r="J498" s="8">
        <f>Source!BB186</f>
        <v>6.38</v>
      </c>
      <c r="K498" s="11"/>
    </row>
    <row r="499" spans="1:12" ht="12.75">
      <c r="A499" s="8"/>
      <c r="B499" s="8"/>
      <c r="C499" s="8" t="s">
        <v>646</v>
      </c>
      <c r="D499" s="8"/>
      <c r="E499" s="8"/>
      <c r="F499" s="11">
        <f>Source!AN186</f>
        <v>38.03</v>
      </c>
      <c r="G499" s="28" t="str">
        <f>Source!DF186</f>
        <v>)*1,15</v>
      </c>
      <c r="H499" s="8">
        <f>Source!AV186</f>
        <v>1.087</v>
      </c>
      <c r="I499" s="29" t="str">
        <f>CONCATENATE("(",TEXT(+ROUND((Source!CS186/IF(J499&lt;&gt;0,J499,1)*Source!I186),2),"0,00"),")")</f>
        <v>(47,54)</v>
      </c>
      <c r="J499" s="8">
        <f>Source!BS186</f>
        <v>13.09</v>
      </c>
      <c r="K499" s="29"/>
      <c r="L499">
        <f>ROUND(IF(J499&lt;&gt;0,Source!R186/J499,Source!R186),2)</f>
        <v>47.54</v>
      </c>
    </row>
    <row r="500" spans="1:11" ht="12.75">
      <c r="A500" s="8"/>
      <c r="B500" s="8"/>
      <c r="C500" s="8" t="s">
        <v>647</v>
      </c>
      <c r="D500" s="8" t="s">
        <v>648</v>
      </c>
      <c r="E500" s="8">
        <f>Source!DN186</f>
        <v>114</v>
      </c>
      <c r="F500" s="8"/>
      <c r="G500" s="8"/>
      <c r="H500" s="8"/>
      <c r="I500" s="11">
        <f>ROUND((E500/100)*ROUND((Source!CT186/IF(Source!BA186&lt;&gt;0,Source!BA186,1)*Source!I186),2),2)</f>
        <v>36.01</v>
      </c>
      <c r="J500" s="8">
        <f>Source!AT186</f>
        <v>98</v>
      </c>
      <c r="K500" s="11"/>
    </row>
    <row r="501" spans="1:11" ht="12.75">
      <c r="A501" s="8"/>
      <c r="B501" s="8"/>
      <c r="C501" s="8" t="s">
        <v>649</v>
      </c>
      <c r="D501" s="8" t="s">
        <v>648</v>
      </c>
      <c r="E501" s="8">
        <f>Source!DO186</f>
        <v>80</v>
      </c>
      <c r="F501" s="8"/>
      <c r="G501" s="8"/>
      <c r="H501" s="8"/>
      <c r="I501" s="11">
        <f>ROUND((E501/100)*ROUND((Source!CT186/IF(Source!BA186&lt;&gt;0,Source!BA186,1)*Source!I186),2),2)</f>
        <v>25.27</v>
      </c>
      <c r="J501" s="8">
        <f>Source!AU186</f>
        <v>42</v>
      </c>
      <c r="K501" s="11"/>
    </row>
    <row r="502" spans="1:11" ht="12.75">
      <c r="A502" s="8"/>
      <c r="B502" s="8"/>
      <c r="C502" s="8" t="s">
        <v>650</v>
      </c>
      <c r="D502" s="8" t="s">
        <v>648</v>
      </c>
      <c r="E502" s="8">
        <v>175</v>
      </c>
      <c r="F502" s="8"/>
      <c r="G502" s="8"/>
      <c r="H502" s="8"/>
      <c r="I502" s="11">
        <f>ROUND(ROUND((Source!CS186/IF(Source!BS186&lt;&gt;0,Source!BS186,1)*Source!I186),2)*1.75,2)</f>
        <v>83.2</v>
      </c>
      <c r="J502" s="8">
        <v>167</v>
      </c>
      <c r="K502" s="11"/>
    </row>
    <row r="503" spans="1:11" ht="12.75">
      <c r="A503" s="30"/>
      <c r="B503" s="30"/>
      <c r="C503" s="30" t="s">
        <v>651</v>
      </c>
      <c r="D503" s="30" t="s">
        <v>652</v>
      </c>
      <c r="E503" s="30">
        <f>Source!AQ186</f>
        <v>2.26</v>
      </c>
      <c r="F503" s="30"/>
      <c r="G503" s="31" t="str">
        <f>Source!DI186</f>
        <v>)*1,15</v>
      </c>
      <c r="H503" s="30">
        <f>Source!AV186</f>
        <v>1.087</v>
      </c>
      <c r="I503" s="32">
        <f>ROUND(Source!U186,2)</f>
        <v>2.83</v>
      </c>
      <c r="J503" s="30"/>
      <c r="K503" s="30"/>
    </row>
    <row r="504" spans="9:24" ht="12.75">
      <c r="I504" s="33">
        <f>ROUND((Source!CT186/IF(Source!BA186&lt;&gt;0,Source!BA186,1)*Source!I186),2)+ROUND((Source!CR186/IF(Source!BB186&lt;&gt;0,Source!BB186,1)*Source!I186),2)+ROUND((Source!CQ186/IF(Source!BC186&lt;&gt;0,Source!BC186,1)*Source!I186),2)+SUM(I500:I502)</f>
        <v>370.98</v>
      </c>
      <c r="J504" s="34"/>
      <c r="K504" s="33"/>
      <c r="L504">
        <f>ROUND((Source!CT186/IF(Source!BA186&lt;&gt;0,Source!BA186,1)*Source!I186),2)</f>
        <v>31.59</v>
      </c>
      <c r="M504" s="12">
        <f>I504</f>
        <v>370.98</v>
      </c>
      <c r="N504" s="12">
        <f>K504</f>
        <v>0</v>
      </c>
      <c r="O504">
        <f>ROUND(IF(Source!BI186=1,(ROUND((Source!CT186/IF(Source!BA186&lt;&gt;0,Source!BA186,1)*Source!I186),2)+ROUND((Source!CR186/IF(Source!BB186&lt;&gt;0,Source!BB186,1)*Source!I186),2)+ROUND((Source!CQ186/IF(Source!BC186&lt;&gt;0,Source!BC186,1)*Source!I186),2)+((Source!DN186/100)*ROUND((Source!CT186/IF(Source!BA186&lt;&gt;0,Source!BA186,1)*Source!I186),2))+((Source!DO186/100)*ROUND((Source!CT186/IF(Source!BA186&lt;&gt;0,Source!BA186,1)*Source!I186),2))+(ROUND((Source!CS186/IF(Source!BS186&lt;&gt;0,Source!BS186,1)*Source!I186),2)*1.75)),0),2)</f>
        <v>370.98</v>
      </c>
      <c r="P504">
        <f>ROUND(IF(Source!BI186=2,(ROUND((Source!CT186/IF(Source!BA186&lt;&gt;0,Source!BA186,1)*Source!I186),2)+ROUND((Source!CR186/IF(Source!BB186&lt;&gt;0,Source!BB186,1)*Source!I186),2)+ROUND((Source!CQ186/IF(Source!BC186&lt;&gt;0,Source!BC186,1)*Source!I186),2)+((Source!DN186/100)*ROUND((Source!CT186/IF(Source!BA186&lt;&gt;0,Source!BA186,1)*Source!I186),2))+((Source!DO186/100)*ROUND((Source!CT186/IF(Source!BA186&lt;&gt;0,Source!BA186,1)*Source!I186),2))+(ROUND((Source!CS186/IF(Source!BS186&lt;&gt;0,Source!BS186,1)*Source!I186),2)*1.75)),0),2)</f>
        <v>0</v>
      </c>
      <c r="Q504">
        <f>ROUND(IF(Source!BI186=3,(ROUND((Source!CT186/IF(Source!BA186&lt;&gt;0,Source!BA186,1)*Source!I186),2)+ROUND((Source!CR186/IF(Source!BB186&lt;&gt;0,Source!BB186,1)*Source!I186),2)+ROUND((Source!CQ186/IF(Source!BC186&lt;&gt;0,Source!BC186,1)*Source!I186),2)+((Source!DN186/100)*ROUND((Source!CT186/IF(Source!BA186&lt;&gt;0,Source!BA186,1)*Source!I186),2))+((Source!DO186/100)*ROUND((Source!CT186/IF(Source!BA186&lt;&gt;0,Source!BA186,1)*Source!I186),2))+(ROUND((Source!CS186/IF(Source!BS186&lt;&gt;0,Source!BS186,1)*Source!I186),2)*1.75)),0),2)</f>
        <v>0</v>
      </c>
      <c r="R504">
        <f>ROUND(IF(Source!BI186=4,(ROUND((Source!CT186/IF(Source!BA186&lt;&gt;0,Source!BA186,1)*Source!I186),2)+ROUND((Source!CR186/IF(Source!BB186&lt;&gt;0,Source!BB186,1)*Source!I186),2)+ROUND((Source!CQ186/IF(Source!BC186&lt;&gt;0,Source!BC186,1)*Source!I186),2)+((Source!DN186/100)*ROUND((Source!CT186/IF(Source!BA186&lt;&gt;0,Source!BA186,1)*Source!I186),2))+((Source!DO186/100)*ROUND((Source!CT186/IF(Source!BA186&lt;&gt;0,Source!BA186,1)*Source!I186),2))+(ROUND((Source!CS186/IF(Source!BS186&lt;&gt;0,Source!BS186,1)*Source!I186),2)*1.75)),0),2)</f>
        <v>0</v>
      </c>
      <c r="U504">
        <f>IF(Source!BI186=1,Source!O186+Source!X186+Source!Y186+Source!R186*167/100,0)</f>
        <v>3275.1342999999997</v>
      </c>
      <c r="V504">
        <f>IF(Source!BI186=2,Source!O186+Source!X186+Source!Y186+Source!R186*167/100,0)</f>
        <v>0</v>
      </c>
      <c r="W504">
        <f>IF(Source!BI186=3,Source!O186+Source!X186+Source!Y186+Source!R186*167/100,0)</f>
        <v>0</v>
      </c>
      <c r="X504">
        <f>IF(Source!BI186=4,Source!O186+Source!X186+Source!Y186+Source!R186*167/100,0)</f>
        <v>0</v>
      </c>
    </row>
    <row r="505" spans="1:25" ht="72">
      <c r="A505" s="26" t="str">
        <f>Source!E187</f>
        <v>67</v>
      </c>
      <c r="B505" s="26" t="s">
        <v>667</v>
      </c>
      <c r="C505" s="9" t="str">
        <f>Source!G187</f>
        <v>ЗЕМЛЯНЫЕ РАБОТЫ ПРИ УСТАНОВКЕ ОПОР КОНТАКТНОЙ СЕТИ С БУРЕНИЕМ КОТЛОВАНОВ СТАЛЬНЫХ МАССОЙ ДО 1 Т В ГРУППЕ ГРУНТА 2 ПРИ ГЛУБИНЕ БУРЕНИЯ, М 2</v>
      </c>
      <c r="D505" s="27" t="str">
        <f>Source!H187</f>
        <v>опора</v>
      </c>
      <c r="E505" s="8">
        <f>ROUND(Source!I187,6)</f>
        <v>-1</v>
      </c>
      <c r="F505" s="8"/>
      <c r="G505" s="8"/>
      <c r="H505" s="8"/>
      <c r="I505" s="8"/>
      <c r="J505" s="8"/>
      <c r="K505" s="8"/>
      <c r="Y505">
        <v>76</v>
      </c>
    </row>
    <row r="506" spans="1:11" ht="12.75">
      <c r="A506" s="8"/>
      <c r="B506" s="8"/>
      <c r="C506" s="8" t="s">
        <v>644</v>
      </c>
      <c r="D506" s="8"/>
      <c r="E506" s="8"/>
      <c r="F506" s="11">
        <f>Source!AO187</f>
        <v>7.27</v>
      </c>
      <c r="G506" s="28" t="str">
        <f>Source!DG187</f>
        <v>)*1,15</v>
      </c>
      <c r="H506" s="8">
        <f>Source!AV187</f>
        <v>1.087</v>
      </c>
      <c r="I506" s="11">
        <f>ROUND((Source!CT187/IF(Source!BA187&lt;&gt;0,Source!BA187,1)*Source!I187),2)</f>
        <v>-9.09</v>
      </c>
      <c r="J506" s="8">
        <f>Source!BA187</f>
        <v>13.09</v>
      </c>
      <c r="K506" s="11"/>
    </row>
    <row r="507" spans="1:11" ht="12.75">
      <c r="A507" s="8"/>
      <c r="B507" s="8"/>
      <c r="C507" s="8" t="s">
        <v>645</v>
      </c>
      <c r="D507" s="8"/>
      <c r="E507" s="8"/>
      <c r="F507" s="11">
        <f>Source!AM187</f>
        <v>83.59</v>
      </c>
      <c r="G507" s="28" t="str">
        <f>Source!DE187</f>
        <v>)*1,15</v>
      </c>
      <c r="H507" s="8">
        <f>Source!AV187</f>
        <v>1.087</v>
      </c>
      <c r="I507" s="11">
        <f>ROUND((Source!CR187/IF(Source!BB187&lt;&gt;0,Source!BB187,1)*Source!I187),2)</f>
        <v>-104.49</v>
      </c>
      <c r="J507" s="8">
        <f>Source!BB187</f>
        <v>6.31</v>
      </c>
      <c r="K507" s="11"/>
    </row>
    <row r="508" spans="1:12" ht="12.75">
      <c r="A508" s="8"/>
      <c r="B508" s="8"/>
      <c r="C508" s="8" t="s">
        <v>646</v>
      </c>
      <c r="D508" s="8"/>
      <c r="E508" s="8"/>
      <c r="F508" s="11">
        <f>Source!AN187</f>
        <v>17.1</v>
      </c>
      <c r="G508" s="28" t="str">
        <f>Source!DF187</f>
        <v>)*1,15</v>
      </c>
      <c r="H508" s="8">
        <f>Source!AV187</f>
        <v>1.087</v>
      </c>
      <c r="I508" s="29" t="str">
        <f>CONCATENATE("(",TEXT(+ROUND((Source!CS187/IF(J508&lt;&gt;0,J508,1)*Source!I187),2),"0,00"),")")</f>
        <v>(-21,38)</v>
      </c>
      <c r="J508" s="8">
        <f>Source!BS187</f>
        <v>13.09</v>
      </c>
      <c r="K508" s="29"/>
      <c r="L508">
        <f>ROUND(IF(J508&lt;&gt;0,Source!R187/J508,Source!R187),2)</f>
        <v>-21.38</v>
      </c>
    </row>
    <row r="509" spans="1:11" ht="12.75">
      <c r="A509" s="8"/>
      <c r="B509" s="8"/>
      <c r="C509" s="8" t="s">
        <v>647</v>
      </c>
      <c r="D509" s="8" t="s">
        <v>648</v>
      </c>
      <c r="E509" s="8">
        <f>Source!DN187</f>
        <v>114</v>
      </c>
      <c r="F509" s="8"/>
      <c r="G509" s="8"/>
      <c r="H509" s="8"/>
      <c r="I509" s="11">
        <f>ROUND((E509/100)*ROUND((Source!CT187/IF(Source!BA187&lt;&gt;0,Source!BA187,1)*Source!I187),2),2)</f>
        <v>-10.36</v>
      </c>
      <c r="J509" s="8">
        <f>Source!AT187</f>
        <v>98</v>
      </c>
      <c r="K509" s="11"/>
    </row>
    <row r="510" spans="1:11" ht="12.75">
      <c r="A510" s="8"/>
      <c r="B510" s="8"/>
      <c r="C510" s="8" t="s">
        <v>649</v>
      </c>
      <c r="D510" s="8" t="s">
        <v>648</v>
      </c>
      <c r="E510" s="8">
        <f>Source!DO187</f>
        <v>80</v>
      </c>
      <c r="F510" s="8"/>
      <c r="G510" s="8"/>
      <c r="H510" s="8"/>
      <c r="I510" s="11">
        <f>ROUND((E510/100)*ROUND((Source!CT187/IF(Source!BA187&lt;&gt;0,Source!BA187,1)*Source!I187),2),2)</f>
        <v>-7.27</v>
      </c>
      <c r="J510" s="8">
        <f>Source!AU187</f>
        <v>42</v>
      </c>
      <c r="K510" s="11"/>
    </row>
    <row r="511" spans="1:11" ht="12.75">
      <c r="A511" s="8"/>
      <c r="B511" s="8"/>
      <c r="C511" s="8" t="s">
        <v>650</v>
      </c>
      <c r="D511" s="8" t="s">
        <v>648</v>
      </c>
      <c r="E511" s="8">
        <v>175</v>
      </c>
      <c r="F511" s="8"/>
      <c r="G511" s="8"/>
      <c r="H511" s="8"/>
      <c r="I511" s="11">
        <f>ROUND(ROUND((Source!CS187/IF(Source!BS187&lt;&gt;0,Source!BS187,1)*Source!I187),2)*1.75,2)</f>
        <v>-37.42</v>
      </c>
      <c r="J511" s="8">
        <v>167</v>
      </c>
      <c r="K511" s="11"/>
    </row>
    <row r="512" spans="1:11" ht="12.75">
      <c r="A512" s="30"/>
      <c r="B512" s="30"/>
      <c r="C512" s="30" t="s">
        <v>651</v>
      </c>
      <c r="D512" s="30" t="s">
        <v>652</v>
      </c>
      <c r="E512" s="30">
        <f>Source!AQ187</f>
        <v>0.65</v>
      </c>
      <c r="F512" s="30"/>
      <c r="G512" s="31" t="str">
        <f>Source!DI187</f>
        <v>)*1,15</v>
      </c>
      <c r="H512" s="30">
        <f>Source!AV187</f>
        <v>1.087</v>
      </c>
      <c r="I512" s="32">
        <f>ROUND(Source!U187,2)</f>
        <v>-0.81</v>
      </c>
      <c r="J512" s="30"/>
      <c r="K512" s="30"/>
    </row>
    <row r="513" spans="9:24" ht="12.75">
      <c r="I513" s="33">
        <f>ROUND((Source!CT187/IF(Source!BA187&lt;&gt;0,Source!BA187,1)*Source!I187),2)+ROUND((Source!CR187/IF(Source!BB187&lt;&gt;0,Source!BB187,1)*Source!I187),2)+ROUND((Source!CQ187/IF(Source!BC187&lt;&gt;0,Source!BC187,1)*Source!I187),2)+SUM(I509:I511)</f>
        <v>-168.63</v>
      </c>
      <c r="J513" s="34"/>
      <c r="K513" s="33"/>
      <c r="L513">
        <f>ROUND((Source!CT187/IF(Source!BA187&lt;&gt;0,Source!BA187,1)*Source!I187),2)</f>
        <v>-9.09</v>
      </c>
      <c r="M513" s="12">
        <f>I513</f>
        <v>-168.63</v>
      </c>
      <c r="N513" s="12">
        <f>K513</f>
        <v>0</v>
      </c>
      <c r="O513">
        <f>ROUND(IF(Source!BI187=1,(ROUND((Source!CT187/IF(Source!BA187&lt;&gt;0,Source!BA187,1)*Source!I187),2)+ROUND((Source!CR187/IF(Source!BB187&lt;&gt;0,Source!BB187,1)*Source!I187),2)+ROUND((Source!CQ187/IF(Source!BC187&lt;&gt;0,Source!BC187,1)*Source!I187),2)+((Source!DN187/100)*ROUND((Source!CT187/IF(Source!BA187&lt;&gt;0,Source!BA187,1)*Source!I187),2))+((Source!DO187/100)*ROUND((Source!CT187/IF(Source!BA187&lt;&gt;0,Source!BA187,1)*Source!I187),2))+(ROUND((Source!CS187/IF(Source!BS187&lt;&gt;0,Source!BS187,1)*Source!I187),2)*1.75)),0),2)</f>
        <v>-168.63</v>
      </c>
      <c r="P513">
        <f>ROUND(IF(Source!BI187=2,(ROUND((Source!CT187/IF(Source!BA187&lt;&gt;0,Source!BA187,1)*Source!I187),2)+ROUND((Source!CR187/IF(Source!BB187&lt;&gt;0,Source!BB187,1)*Source!I187),2)+ROUND((Source!CQ187/IF(Source!BC187&lt;&gt;0,Source!BC187,1)*Source!I187),2)+((Source!DN187/100)*ROUND((Source!CT187/IF(Source!BA187&lt;&gt;0,Source!BA187,1)*Source!I187),2))+((Source!DO187/100)*ROUND((Source!CT187/IF(Source!BA187&lt;&gt;0,Source!BA187,1)*Source!I187),2))+(ROUND((Source!CS187/IF(Source!BS187&lt;&gt;0,Source!BS187,1)*Source!I187),2)*1.75)),0),2)</f>
        <v>0</v>
      </c>
      <c r="Q513">
        <f>ROUND(IF(Source!BI187=3,(ROUND((Source!CT187/IF(Source!BA187&lt;&gt;0,Source!BA187,1)*Source!I187),2)+ROUND((Source!CR187/IF(Source!BB187&lt;&gt;0,Source!BB187,1)*Source!I187),2)+ROUND((Source!CQ187/IF(Source!BC187&lt;&gt;0,Source!BC187,1)*Source!I187),2)+((Source!DN187/100)*ROUND((Source!CT187/IF(Source!BA187&lt;&gt;0,Source!BA187,1)*Source!I187),2))+((Source!DO187/100)*ROUND((Source!CT187/IF(Source!BA187&lt;&gt;0,Source!BA187,1)*Source!I187),2))+(ROUND((Source!CS187/IF(Source!BS187&lt;&gt;0,Source!BS187,1)*Source!I187),2)*1.75)),0),2)</f>
        <v>0</v>
      </c>
      <c r="R513">
        <f>ROUND(IF(Source!BI187=4,(ROUND((Source!CT187/IF(Source!BA187&lt;&gt;0,Source!BA187,1)*Source!I187),2)+ROUND((Source!CR187/IF(Source!BB187&lt;&gt;0,Source!BB187,1)*Source!I187),2)+ROUND((Source!CQ187/IF(Source!BC187&lt;&gt;0,Source!BC187,1)*Source!I187),2)+((Source!DN187/100)*ROUND((Source!CT187/IF(Source!BA187&lt;&gt;0,Source!BA187,1)*Source!I187),2))+((Source!DO187/100)*ROUND((Source!CT187/IF(Source!BA187&lt;&gt;0,Source!BA187,1)*Source!I187),2))+(ROUND((Source!CS187/IF(Source!BS187&lt;&gt;0,Source!BS187,1)*Source!I187),2)*1.75)),0),2)</f>
        <v>0</v>
      </c>
      <c r="U513">
        <f>IF(Source!BI187=1,Source!O187+Source!X187+Source!Y187+Source!R187*167/100,0)</f>
        <v>-1412.1227</v>
      </c>
      <c r="V513">
        <f>IF(Source!BI187=2,Source!O187+Source!X187+Source!Y187+Source!R187*167/100,0)</f>
        <v>0</v>
      </c>
      <c r="W513">
        <f>IF(Source!BI187=3,Source!O187+Source!X187+Source!Y187+Source!R187*167/100,0)</f>
        <v>0</v>
      </c>
      <c r="X513">
        <f>IF(Source!BI187=4,Source!O187+Source!X187+Source!Y187+Source!R187*167/100,0)</f>
        <v>0</v>
      </c>
    </row>
    <row r="514" spans="1:25" ht="24">
      <c r="A514" s="26" t="str">
        <f>Source!E188</f>
        <v>68</v>
      </c>
      <c r="B514" s="26" t="s">
        <v>668</v>
      </c>
      <c r="C514" s="9" t="str">
        <f>Source!G188</f>
        <v>ПОСТАНОВКА БОЛТОВ НОРМАЛЬНОЙ ТОЧНОСТИ</v>
      </c>
      <c r="D514" s="27" t="str">
        <f>Source!H188</f>
        <v>100 шт.</v>
      </c>
      <c r="E514" s="8">
        <f>ROUND(Source!I188,6)</f>
        <v>0.08</v>
      </c>
      <c r="F514" s="8"/>
      <c r="G514" s="8"/>
      <c r="H514" s="8"/>
      <c r="I514" s="8"/>
      <c r="J514" s="8"/>
      <c r="K514" s="8"/>
      <c r="Y514">
        <v>77</v>
      </c>
    </row>
    <row r="515" spans="1:11" ht="12.75">
      <c r="A515" s="8"/>
      <c r="B515" s="8"/>
      <c r="C515" s="8" t="s">
        <v>644</v>
      </c>
      <c r="D515" s="8"/>
      <c r="E515" s="8"/>
      <c r="F515" s="11">
        <f>Source!AO188</f>
        <v>157.08</v>
      </c>
      <c r="G515" s="28" t="str">
        <f>Source!DG188</f>
        <v>)*1,15</v>
      </c>
      <c r="H515" s="8">
        <f>Source!AV188</f>
        <v>1.087</v>
      </c>
      <c r="I515" s="11">
        <f>ROUND((Source!CT188/IF(Source!BA188&lt;&gt;0,Source!BA188,1)*Source!I188),2)</f>
        <v>15.71</v>
      </c>
      <c r="J515" s="8">
        <f>Source!BA188</f>
        <v>13.09</v>
      </c>
      <c r="K515" s="11"/>
    </row>
    <row r="516" spans="1:11" ht="12.75">
      <c r="A516" s="8"/>
      <c r="B516" s="8"/>
      <c r="C516" s="8" t="s">
        <v>645</v>
      </c>
      <c r="D516" s="8"/>
      <c r="E516" s="8"/>
      <c r="F516" s="11">
        <f>Source!AM188</f>
        <v>2.08</v>
      </c>
      <c r="G516" s="28" t="str">
        <f>Source!DE188</f>
        <v>)*1,15</v>
      </c>
      <c r="H516" s="8">
        <f>Source!AV188</f>
        <v>1.087</v>
      </c>
      <c r="I516" s="11">
        <f>ROUND((Source!CR188/IF(Source!BB188&lt;&gt;0,Source!BB188,1)*Source!I188),2)</f>
        <v>0.21</v>
      </c>
      <c r="J516" s="8">
        <f>Source!BB188</f>
        <v>7.6</v>
      </c>
      <c r="K516" s="11"/>
    </row>
    <row r="517" spans="1:12" ht="12.75">
      <c r="A517" s="8"/>
      <c r="B517" s="8"/>
      <c r="C517" s="8" t="s">
        <v>646</v>
      </c>
      <c r="D517" s="8"/>
      <c r="E517" s="8"/>
      <c r="F517" s="11">
        <f>Source!AN188</f>
        <v>0.49</v>
      </c>
      <c r="G517" s="28" t="str">
        <f>Source!DF188</f>
        <v>)*1,15</v>
      </c>
      <c r="H517" s="8">
        <f>Source!AV188</f>
        <v>1.087</v>
      </c>
      <c r="I517" s="29" t="str">
        <f>CONCATENATE("(",TEXT(+ROUND((Source!CS188/IF(J517&lt;&gt;0,J517,1)*Source!I188),2),"0,00"),")")</f>
        <v>(0,05)</v>
      </c>
      <c r="J517" s="8">
        <f>Source!BS188</f>
        <v>13.09</v>
      </c>
      <c r="K517" s="29"/>
      <c r="L517">
        <f>ROUND(IF(J517&lt;&gt;0,Source!R188/J517,Source!R188),2)</f>
        <v>0.05</v>
      </c>
    </row>
    <row r="518" spans="1:25" ht="60">
      <c r="A518" s="26" t="str">
        <f>Source!E189</f>
        <v>68,1</v>
      </c>
      <c r="B518" s="26" t="str">
        <f>Source!F189</f>
        <v>1.1-1-1661</v>
      </c>
      <c r="C518" s="9" t="str">
        <f>Source!G189</f>
        <v>БОЛТЫ ДЛЯ МОНТАЖА СТАЛЬНЫХ КОНСТРУКЦИЙ (В КОМПЛЕКТЕ С ГАЙКАМИ И ШАЙБАМИ) ЧЕРНЫЕ, ДИАМЕТР 24-48 ММ, ДЛИНА 55-300 ММ</v>
      </c>
      <c r="D518" s="27" t="str">
        <f>Source!H189</f>
        <v>кг</v>
      </c>
      <c r="E518" s="8">
        <f>ROUND(Source!I189,6)</f>
        <v>2.444</v>
      </c>
      <c r="F518" s="11">
        <f>IF(Source!AL189=0,Source!AK189,Source!AL189)</f>
        <v>10.41</v>
      </c>
      <c r="G518" s="28">
        <f>Source!DD189</f>
      </c>
      <c r="H518" s="8">
        <f>Source!AW189</f>
        <v>1</v>
      </c>
      <c r="I518" s="11">
        <f>ROUND((Source!CR189/IF(Source!BB189&lt;&gt;0,Source!BB189,1)*Source!I189),2)+ROUND((Source!CQ189/IF(Source!BC189&lt;&gt;0,Source!BC189,1)*Source!I189),2)+ROUND((Source!CT189/IF(Source!BA189&lt;&gt;0,Source!BA189,1)*Source!I189),2)</f>
        <v>25.44</v>
      </c>
      <c r="J518" s="8">
        <f>Source!BC189</f>
        <v>6.59</v>
      </c>
      <c r="K518" s="11"/>
      <c r="O518">
        <f>IF(Source!BI189=1,(ROUND((Source!CR189/IF(Source!BB189&lt;&gt;0,Source!BB189,1)*Source!I189),2)+ROUND((Source!CQ189/IF(Source!BC189&lt;&gt;0,Source!BC189,1)*Source!I189),2)+ROUND((Source!CT189/IF(Source!BA189&lt;&gt;0,Source!BA189,1)*Source!I189),2)),0)</f>
        <v>25.44</v>
      </c>
      <c r="P518">
        <f>IF(Source!BI189=2,(ROUND((Source!CR189/IF(Source!BB189&lt;&gt;0,Source!BB189,1)*Source!I189),2)+ROUND((Source!CQ189/IF(Source!BC189&lt;&gt;0,Source!BC189,1)*Source!I189),2)+ROUND((Source!CT189/IF(Source!BA189&lt;&gt;0,Source!BA189,1)*Source!I189),2)),0)</f>
        <v>0</v>
      </c>
      <c r="Q518">
        <f>IF(Source!BI189=3,(ROUND((Source!CR189/IF(Source!BB189&lt;&gt;0,Source!BB189,1)*Source!I189),2)+ROUND((Source!CQ189/IF(Source!BC189&lt;&gt;0,Source!BC189,1)*Source!I189),2)+ROUND((Source!CT189/IF(Source!BA189&lt;&gt;0,Source!BA189,1)*Source!I189),2)),0)</f>
        <v>0</v>
      </c>
      <c r="R518">
        <f>IF(Source!BI189=4,(ROUND((Source!CR189/IF(Source!BB189&lt;&gt;0,Source!BB189,1)*Source!I189),2)+ROUND((Source!CQ189/IF(Source!BC189&lt;&gt;0,Source!BC189,1)*Source!I189),2)+ROUND((Source!CT189/IF(Source!BA189&lt;&gt;0,Source!BA189,1)*Source!I189),2)),0)</f>
        <v>0</v>
      </c>
      <c r="U518">
        <f>IF(Source!BI189=1,Source!O189+Source!X189+Source!Y189,0)</f>
        <v>167.66</v>
      </c>
      <c r="V518">
        <f>IF(Source!BI189=2,Source!O189+Source!X189+Source!Y189,0)</f>
        <v>0</v>
      </c>
      <c r="W518">
        <f>IF(Source!BI189=3,Source!O189+Source!X189+Source!Y189,0)</f>
        <v>0</v>
      </c>
      <c r="X518">
        <f>IF(Source!BI189=4,Source!O189+Source!X189+Source!Y189,0)</f>
        <v>0</v>
      </c>
      <c r="Y518">
        <v>78</v>
      </c>
    </row>
    <row r="519" spans="1:11" ht="12.75">
      <c r="A519" s="8"/>
      <c r="B519" s="8"/>
      <c r="C519" s="8" t="s">
        <v>647</v>
      </c>
      <c r="D519" s="8" t="s">
        <v>648</v>
      </c>
      <c r="E519" s="8">
        <f>Source!DN188</f>
        <v>87</v>
      </c>
      <c r="F519" s="8"/>
      <c r="G519" s="8"/>
      <c r="H519" s="8"/>
      <c r="I519" s="11">
        <f>ROUND((E519/100)*ROUND((Source!CT188/IF(Source!BA188&lt;&gt;0,Source!BA188,1)*Source!I188),2),2)</f>
        <v>13.67</v>
      </c>
      <c r="J519" s="8">
        <f>Source!AT188</f>
        <v>75</v>
      </c>
      <c r="K519" s="11"/>
    </row>
    <row r="520" spans="1:11" ht="12.75">
      <c r="A520" s="8"/>
      <c r="B520" s="8"/>
      <c r="C520" s="8" t="s">
        <v>649</v>
      </c>
      <c r="D520" s="8" t="s">
        <v>648</v>
      </c>
      <c r="E520" s="8">
        <f>Source!DO188</f>
        <v>105</v>
      </c>
      <c r="F520" s="8"/>
      <c r="G520" s="8"/>
      <c r="H520" s="8"/>
      <c r="I520" s="11">
        <f>ROUND((E520/100)*ROUND((Source!CT188/IF(Source!BA188&lt;&gt;0,Source!BA188,1)*Source!I188),2),2)</f>
        <v>16.5</v>
      </c>
      <c r="J520" s="8">
        <f>Source!AU188</f>
        <v>53</v>
      </c>
      <c r="K520" s="11"/>
    </row>
    <row r="521" spans="1:11" ht="12.75">
      <c r="A521" s="8"/>
      <c r="B521" s="8"/>
      <c r="C521" s="8" t="s">
        <v>650</v>
      </c>
      <c r="D521" s="8" t="s">
        <v>648</v>
      </c>
      <c r="E521" s="8">
        <v>175</v>
      </c>
      <c r="F521" s="8"/>
      <c r="G521" s="8"/>
      <c r="H521" s="8"/>
      <c r="I521" s="11">
        <f>ROUND(ROUND((Source!CS188/IF(Source!BS188&lt;&gt;0,Source!BS188,1)*Source!I188),2)*1.75,2)</f>
        <v>0.09</v>
      </c>
      <c r="J521" s="8">
        <v>167</v>
      </c>
      <c r="K521" s="11"/>
    </row>
    <row r="522" spans="1:11" ht="12.75">
      <c r="A522" s="30"/>
      <c r="B522" s="30"/>
      <c r="C522" s="30" t="s">
        <v>651</v>
      </c>
      <c r="D522" s="30" t="s">
        <v>652</v>
      </c>
      <c r="E522" s="30">
        <f>Source!AQ188</f>
        <v>11.9</v>
      </c>
      <c r="F522" s="30"/>
      <c r="G522" s="31" t="str">
        <f>Source!DI188</f>
        <v>)*1,15</v>
      </c>
      <c r="H522" s="30">
        <f>Source!AV188</f>
        <v>1.087</v>
      </c>
      <c r="I522" s="32">
        <f>ROUND(Source!U188,2)</f>
        <v>1.19</v>
      </c>
      <c r="J522" s="30"/>
      <c r="K522" s="30"/>
    </row>
    <row r="523" spans="9:24" ht="12.75">
      <c r="I523" s="33">
        <f>ROUND((Source!CT188/IF(Source!BA188&lt;&gt;0,Source!BA188,1)*Source!I188),2)+ROUND((Source!CR188/IF(Source!BB188&lt;&gt;0,Source!BB188,1)*Source!I188),2)+ROUND((Source!CQ188/IF(Source!BC188&lt;&gt;0,Source!BC188,1)*Source!I188),2)+SUM(I518:I521)</f>
        <v>71.62</v>
      </c>
      <c r="J523" s="34"/>
      <c r="K523" s="33"/>
      <c r="L523">
        <f>ROUND((Source!CT188/IF(Source!BA188&lt;&gt;0,Source!BA188,1)*Source!I188),2)</f>
        <v>15.71</v>
      </c>
      <c r="M523" s="12">
        <f>I523</f>
        <v>71.62</v>
      </c>
      <c r="N523" s="12">
        <f>K523</f>
        <v>0</v>
      </c>
      <c r="O523">
        <f>ROUND(IF(Source!BI188=1,(ROUND((Source!CT188/IF(Source!BA188&lt;&gt;0,Source!BA188,1)*Source!I188),2)+ROUND((Source!CR188/IF(Source!BB188&lt;&gt;0,Source!BB188,1)*Source!I188),2)+ROUND((Source!CQ188/IF(Source!BC188&lt;&gt;0,Source!BC188,1)*Source!I188),2)+((Source!DN188/100)*ROUND((Source!CT188/IF(Source!BA188&lt;&gt;0,Source!BA188,1)*Source!I188),2))+((Source!DO188/100)*ROUND((Source!CT188/IF(Source!BA188&lt;&gt;0,Source!BA188,1)*Source!I188),2))+(ROUND((Source!CS188/IF(Source!BS188&lt;&gt;0,Source!BS188,1)*Source!I188),2)*1.75)),0),2)</f>
        <v>46.17</v>
      </c>
      <c r="P523">
        <f>ROUND(IF(Source!BI188=2,(ROUND((Source!CT188/IF(Source!BA188&lt;&gt;0,Source!BA188,1)*Source!I188),2)+ROUND((Source!CR188/IF(Source!BB188&lt;&gt;0,Source!BB188,1)*Source!I188),2)+ROUND((Source!CQ188/IF(Source!BC188&lt;&gt;0,Source!BC188,1)*Source!I188),2)+((Source!DN188/100)*ROUND((Source!CT188/IF(Source!BA188&lt;&gt;0,Source!BA188,1)*Source!I188),2))+((Source!DO188/100)*ROUND((Source!CT188/IF(Source!BA188&lt;&gt;0,Source!BA188,1)*Source!I188),2))+(ROUND((Source!CS188/IF(Source!BS188&lt;&gt;0,Source!BS188,1)*Source!I188),2)*1.75)),0),2)</f>
        <v>0</v>
      </c>
      <c r="Q523">
        <f>ROUND(IF(Source!BI188=3,(ROUND((Source!CT188/IF(Source!BA188&lt;&gt;0,Source!BA188,1)*Source!I188),2)+ROUND((Source!CR188/IF(Source!BB188&lt;&gt;0,Source!BB188,1)*Source!I188),2)+ROUND((Source!CQ188/IF(Source!BC188&lt;&gt;0,Source!BC188,1)*Source!I188),2)+((Source!DN188/100)*ROUND((Source!CT188/IF(Source!BA188&lt;&gt;0,Source!BA188,1)*Source!I188),2))+((Source!DO188/100)*ROUND((Source!CT188/IF(Source!BA188&lt;&gt;0,Source!BA188,1)*Source!I188),2))+(ROUND((Source!CS188/IF(Source!BS188&lt;&gt;0,Source!BS188,1)*Source!I188),2)*1.75)),0),2)</f>
        <v>0</v>
      </c>
      <c r="R523">
        <f>ROUND(IF(Source!BI188=4,(ROUND((Source!CT188/IF(Source!BA188&lt;&gt;0,Source!BA188,1)*Source!I188),2)+ROUND((Source!CR188/IF(Source!BB188&lt;&gt;0,Source!BB188,1)*Source!I188),2)+ROUND((Source!CQ188/IF(Source!BC188&lt;&gt;0,Source!BC188,1)*Source!I188),2)+((Source!DN188/100)*ROUND((Source!CT188/IF(Source!BA188&lt;&gt;0,Source!BA188,1)*Source!I188),2))+((Source!DO188/100)*ROUND((Source!CT188/IF(Source!BA188&lt;&gt;0,Source!BA188,1)*Source!I188),2))+(ROUND((Source!CS188/IF(Source!BS188&lt;&gt;0,Source!BS188,1)*Source!I188),2)*1.75)),0),2)</f>
        <v>0</v>
      </c>
      <c r="U523">
        <f>IF(Source!BI188=1,Source!O188+Source!X188+Source!Y188+Source!R188*167/100,0)</f>
        <v>471.47880000000004</v>
      </c>
      <c r="V523">
        <f>IF(Source!BI188=2,Source!O188+Source!X188+Source!Y188+Source!R188*167/100,0)</f>
        <v>0</v>
      </c>
      <c r="W523">
        <f>IF(Source!BI188=3,Source!O188+Source!X188+Source!Y188+Source!R188*167/100,0)</f>
        <v>0</v>
      </c>
      <c r="X523">
        <f>IF(Source!BI188=4,Source!O188+Source!X188+Source!Y188+Source!R188*167/100,0)</f>
        <v>0</v>
      </c>
    </row>
    <row r="524" spans="1:25" ht="23.25">
      <c r="A524" s="26" t="str">
        <f>Source!E190</f>
        <v>69</v>
      </c>
      <c r="B524" s="26" t="s">
        <v>669</v>
      </c>
      <c r="C524" s="9" t="str">
        <f>Source!G190</f>
        <v>ВОДООТЛИВ ИЗ КОТЛОВАНОВ</v>
      </c>
      <c r="D524" s="27" t="str">
        <f>Source!H190</f>
        <v>100 м3</v>
      </c>
      <c r="E524" s="8">
        <f>ROUND(Source!I190,6)</f>
        <v>0.004</v>
      </c>
      <c r="F524" s="8"/>
      <c r="G524" s="8"/>
      <c r="H524" s="8"/>
      <c r="I524" s="8"/>
      <c r="J524" s="8"/>
      <c r="K524" s="8"/>
      <c r="Y524">
        <v>79</v>
      </c>
    </row>
    <row r="525" spans="1:11" ht="12.75">
      <c r="A525" s="8"/>
      <c r="B525" s="8"/>
      <c r="C525" s="8" t="s">
        <v>645</v>
      </c>
      <c r="D525" s="8"/>
      <c r="E525" s="8"/>
      <c r="F525" s="11">
        <f>Source!AM190</f>
        <v>2417.4</v>
      </c>
      <c r="G525" s="28" t="str">
        <f>Source!DE190</f>
        <v>)*1,15</v>
      </c>
      <c r="H525" s="8">
        <f>Source!AV190</f>
        <v>1.047</v>
      </c>
      <c r="I525" s="11">
        <f>ROUND((Source!CR190/IF(Source!BB190&lt;&gt;0,Source!BB190,1)*Source!I190),2)</f>
        <v>11.64</v>
      </c>
      <c r="J525" s="8">
        <f>Source!BB190</f>
        <v>10.13</v>
      </c>
      <c r="K525" s="11"/>
    </row>
    <row r="526" spans="1:12" ht="12.75">
      <c r="A526" s="8"/>
      <c r="B526" s="8"/>
      <c r="C526" s="8" t="s">
        <v>646</v>
      </c>
      <c r="D526" s="8"/>
      <c r="E526" s="8"/>
      <c r="F526" s="11">
        <f>Source!AN190</f>
        <v>1424.6</v>
      </c>
      <c r="G526" s="28" t="str">
        <f>Source!DF190</f>
        <v>)*1,15</v>
      </c>
      <c r="H526" s="8">
        <f>Source!AV190</f>
        <v>1.047</v>
      </c>
      <c r="I526" s="29" t="str">
        <f>CONCATENATE("(",TEXT(+ROUND((Source!CS190/IF(J526&lt;&gt;0,J526,1)*Source!I190),2),"0,00"),")")</f>
        <v>(6,86)</v>
      </c>
      <c r="J526" s="8">
        <f>Source!BS190</f>
        <v>13.09</v>
      </c>
      <c r="K526" s="29"/>
      <c r="L526">
        <f>ROUND(IF(J526&lt;&gt;0,Source!R190/J526,Source!R190),2)</f>
        <v>6.86</v>
      </c>
    </row>
    <row r="527" spans="1:11" ht="12.75">
      <c r="A527" s="30"/>
      <c r="B527" s="30"/>
      <c r="C527" s="30" t="s">
        <v>650</v>
      </c>
      <c r="D527" s="30" t="s">
        <v>648</v>
      </c>
      <c r="E527" s="30">
        <v>175</v>
      </c>
      <c r="F527" s="30"/>
      <c r="G527" s="30"/>
      <c r="H527" s="30"/>
      <c r="I527" s="32">
        <f>ROUND(ROUND((Source!CS190/IF(Source!BS190&lt;&gt;0,Source!BS190,1)*Source!I190),2)*1.75,2)</f>
        <v>12.01</v>
      </c>
      <c r="J527" s="30">
        <v>167</v>
      </c>
      <c r="K527" s="32"/>
    </row>
    <row r="528" spans="9:24" ht="12.75">
      <c r="I528" s="33">
        <f>ROUND((Source!CT190/IF(Source!BA190&lt;&gt;0,Source!BA190,1)*Source!I190),2)+ROUND((Source!CR190/IF(Source!BB190&lt;&gt;0,Source!BB190,1)*Source!I190),2)+ROUND((Source!CQ190/IF(Source!BC190&lt;&gt;0,Source!BC190,1)*Source!I190),2)+SUM(I527:I527)</f>
        <v>23.65</v>
      </c>
      <c r="J528" s="34"/>
      <c r="K528" s="33"/>
      <c r="L528">
        <f>ROUND((Source!CT190/IF(Source!BA190&lt;&gt;0,Source!BA190,1)*Source!I190),2)</f>
        <v>0</v>
      </c>
      <c r="M528" s="12">
        <f>I528</f>
        <v>23.65</v>
      </c>
      <c r="N528" s="12">
        <f>K528</f>
        <v>0</v>
      </c>
      <c r="O528">
        <f>ROUND(IF(Source!BI190=1,(ROUND((Source!CT190/IF(Source!BA190&lt;&gt;0,Source!BA190,1)*Source!I190),2)+ROUND((Source!CR190/IF(Source!BB190&lt;&gt;0,Source!BB190,1)*Source!I190),2)+ROUND((Source!CQ190/IF(Source!BC190&lt;&gt;0,Source!BC190,1)*Source!I190),2)+((Source!DN190/100)*ROUND((Source!CT190/IF(Source!BA190&lt;&gt;0,Source!BA190,1)*Source!I190),2))+((Source!DO190/100)*ROUND((Source!CT190/IF(Source!BA190&lt;&gt;0,Source!BA190,1)*Source!I190),2))+(ROUND((Source!CS190/IF(Source!BS190&lt;&gt;0,Source!BS190,1)*Source!I190),2)*1.75)),0),2)</f>
        <v>23.65</v>
      </c>
      <c r="P528">
        <f>ROUND(IF(Source!BI190=2,(ROUND((Source!CT190/IF(Source!BA190&lt;&gt;0,Source!BA190,1)*Source!I190),2)+ROUND((Source!CR190/IF(Source!BB190&lt;&gt;0,Source!BB190,1)*Source!I190),2)+ROUND((Source!CQ190/IF(Source!BC190&lt;&gt;0,Source!BC190,1)*Source!I190),2)+((Source!DN190/100)*ROUND((Source!CT190/IF(Source!BA190&lt;&gt;0,Source!BA190,1)*Source!I190),2))+((Source!DO190/100)*ROUND((Source!CT190/IF(Source!BA190&lt;&gt;0,Source!BA190,1)*Source!I190),2))+(ROUND((Source!CS190/IF(Source!BS190&lt;&gt;0,Source!BS190,1)*Source!I190),2)*1.75)),0),2)</f>
        <v>0</v>
      </c>
      <c r="Q528">
        <f>ROUND(IF(Source!BI190=3,(ROUND((Source!CT190/IF(Source!BA190&lt;&gt;0,Source!BA190,1)*Source!I190),2)+ROUND((Source!CR190/IF(Source!BB190&lt;&gt;0,Source!BB190,1)*Source!I190),2)+ROUND((Source!CQ190/IF(Source!BC190&lt;&gt;0,Source!BC190,1)*Source!I190),2)+((Source!DN190/100)*ROUND((Source!CT190/IF(Source!BA190&lt;&gt;0,Source!BA190,1)*Source!I190),2))+((Source!DO190/100)*ROUND((Source!CT190/IF(Source!BA190&lt;&gt;0,Source!BA190,1)*Source!I190),2))+(ROUND((Source!CS190/IF(Source!BS190&lt;&gt;0,Source!BS190,1)*Source!I190),2)*1.75)),0),2)</f>
        <v>0</v>
      </c>
      <c r="R528">
        <f>ROUND(IF(Source!BI190=4,(ROUND((Source!CT190/IF(Source!BA190&lt;&gt;0,Source!BA190,1)*Source!I190),2)+ROUND((Source!CR190/IF(Source!BB190&lt;&gt;0,Source!BB190,1)*Source!I190),2)+ROUND((Source!CQ190/IF(Source!BC190&lt;&gt;0,Source!BC190,1)*Source!I190),2)+((Source!DN190/100)*ROUND((Source!CT190/IF(Source!BA190&lt;&gt;0,Source!BA190,1)*Source!I190),2))+((Source!DO190/100)*ROUND((Source!CT190/IF(Source!BA190&lt;&gt;0,Source!BA190,1)*Source!I190),2))+(ROUND((Source!CS190/IF(Source!BS190&lt;&gt;0,Source!BS190,1)*Source!I190),2)*1.75)),0),2)</f>
        <v>0</v>
      </c>
      <c r="U528">
        <f>IF(Source!BI190=1,Source!O190+Source!X190+Source!Y190+Source!R190*167/100,0)</f>
        <v>267.92269999999996</v>
      </c>
      <c r="V528">
        <f>IF(Source!BI190=2,Source!O190+Source!X190+Source!Y190+Source!R190*167/100,0)</f>
        <v>0</v>
      </c>
      <c r="W528">
        <f>IF(Source!BI190=3,Source!O190+Source!X190+Source!Y190+Source!R190*167/100,0)</f>
        <v>0</v>
      </c>
      <c r="X528">
        <f>IF(Source!BI190=4,Source!O190+Source!X190+Source!Y190+Source!R190*167/100,0)</f>
        <v>0</v>
      </c>
    </row>
    <row r="529" spans="1:25" ht="48">
      <c r="A529" s="26" t="str">
        <f>Source!E191</f>
        <v>70</v>
      </c>
      <c r="B529" s="26" t="str">
        <f>Source!F191</f>
        <v>6.69-22-1</v>
      </c>
      <c r="C529" s="9" t="str">
        <f>Source!G191</f>
        <v>ОЧИСТКА ОТ ГРЯЗИ И СТРОИТЕЛЬНОГО МУСОРА КАНАЛОВ И ТРУБОПРОВОДОВ ДИАМЕТРОМ 300 ММ</v>
      </c>
      <c r="D529" s="27" t="str">
        <f>Source!H191</f>
        <v>м3</v>
      </c>
      <c r="E529" s="8">
        <f>ROUND(Source!I191,6)</f>
        <v>0.2</v>
      </c>
      <c r="F529" s="8"/>
      <c r="G529" s="8"/>
      <c r="H529" s="8"/>
      <c r="I529" s="8"/>
      <c r="J529" s="8"/>
      <c r="K529" s="8"/>
      <c r="Y529">
        <v>80</v>
      </c>
    </row>
    <row r="530" spans="1:11" ht="12.75">
      <c r="A530" s="8"/>
      <c r="B530" s="8"/>
      <c r="C530" s="8" t="s">
        <v>644</v>
      </c>
      <c r="D530" s="8"/>
      <c r="E530" s="8"/>
      <c r="F530" s="11">
        <f>Source!AO191</f>
        <v>184.1</v>
      </c>
      <c r="G530" s="28">
        <f>Source!DG191</f>
      </c>
      <c r="H530" s="8">
        <f>Source!AV191</f>
        <v>1.047</v>
      </c>
      <c r="I530" s="11">
        <f>ROUND((Source!CT191/IF(Source!BA191&lt;&gt;0,Source!BA191,1)*Source!I191),2)</f>
        <v>38.55</v>
      </c>
      <c r="J530" s="8">
        <f>Source!BA191</f>
        <v>13.09</v>
      </c>
      <c r="K530" s="11"/>
    </row>
    <row r="531" spans="1:11" ht="12.75">
      <c r="A531" s="8"/>
      <c r="B531" s="8"/>
      <c r="C531" s="8" t="s">
        <v>647</v>
      </c>
      <c r="D531" s="8" t="s">
        <v>648</v>
      </c>
      <c r="E531" s="8">
        <f>Source!DN191</f>
        <v>91</v>
      </c>
      <c r="F531" s="8"/>
      <c r="G531" s="8"/>
      <c r="H531" s="8"/>
      <c r="I531" s="11">
        <f>ROUND((E531/100)*ROUND((Source!CT191/IF(Source!BA191&lt;&gt;0,Source!BA191,1)*Source!I191),2),2)</f>
        <v>35.08</v>
      </c>
      <c r="J531" s="8">
        <f>Source!AT191</f>
        <v>78</v>
      </c>
      <c r="K531" s="11"/>
    </row>
    <row r="532" spans="1:11" ht="12.75">
      <c r="A532" s="8"/>
      <c r="B532" s="8"/>
      <c r="C532" s="8" t="s">
        <v>649</v>
      </c>
      <c r="D532" s="8" t="s">
        <v>648</v>
      </c>
      <c r="E532" s="8">
        <f>Source!DO191</f>
        <v>70</v>
      </c>
      <c r="F532" s="8"/>
      <c r="G532" s="8"/>
      <c r="H532" s="8"/>
      <c r="I532" s="11">
        <f>ROUND((E532/100)*ROUND((Source!CT191/IF(Source!BA191&lt;&gt;0,Source!BA191,1)*Source!I191),2),2)</f>
        <v>26.99</v>
      </c>
      <c r="J532" s="8">
        <f>Source!AU191</f>
        <v>42</v>
      </c>
      <c r="K532" s="11"/>
    </row>
    <row r="533" spans="1:11" ht="12.75">
      <c r="A533" s="30"/>
      <c r="B533" s="30"/>
      <c r="C533" s="30" t="s">
        <v>651</v>
      </c>
      <c r="D533" s="30" t="s">
        <v>652</v>
      </c>
      <c r="E533" s="30">
        <f>Source!AQ191</f>
        <v>17.5</v>
      </c>
      <c r="F533" s="30"/>
      <c r="G533" s="31">
        <f>Source!DI191</f>
      </c>
      <c r="H533" s="30">
        <f>Source!AV191</f>
        <v>1.047</v>
      </c>
      <c r="I533" s="32">
        <f>ROUND(Source!U191,2)</f>
        <v>3.66</v>
      </c>
      <c r="J533" s="30"/>
      <c r="K533" s="30"/>
    </row>
    <row r="534" spans="9:24" ht="12.75">
      <c r="I534" s="33">
        <f>ROUND((Source!CT191/IF(Source!BA191&lt;&gt;0,Source!BA191,1)*Source!I191),2)+ROUND((Source!CR191/IF(Source!BB191&lt;&gt;0,Source!BB191,1)*Source!I191),2)+ROUND((Source!CQ191/IF(Source!BC191&lt;&gt;0,Source!BC191,1)*Source!I191),2)+SUM(I531:I532)</f>
        <v>100.61999999999999</v>
      </c>
      <c r="J534" s="34"/>
      <c r="K534" s="33"/>
      <c r="L534">
        <f>ROUND((Source!CT191/IF(Source!BA191&lt;&gt;0,Source!BA191,1)*Source!I191),2)</f>
        <v>38.55</v>
      </c>
      <c r="M534" s="12">
        <f>I534</f>
        <v>100.61999999999999</v>
      </c>
      <c r="N534" s="12">
        <f>K534</f>
        <v>0</v>
      </c>
      <c r="O534">
        <f>ROUND(IF(Source!BI191=1,(ROUND((Source!CT191/IF(Source!BA191&lt;&gt;0,Source!BA191,1)*Source!I191),2)+ROUND((Source!CR191/IF(Source!BB191&lt;&gt;0,Source!BB191,1)*Source!I191),2)+ROUND((Source!CQ191/IF(Source!BC191&lt;&gt;0,Source!BC191,1)*Source!I191),2)+((Source!DN191/100)*ROUND((Source!CT191/IF(Source!BA191&lt;&gt;0,Source!BA191,1)*Source!I191),2))+((Source!DO191/100)*ROUND((Source!CT191/IF(Source!BA191&lt;&gt;0,Source!BA191,1)*Source!I191),2))+(ROUND((Source!CS191/IF(Source!BS191&lt;&gt;0,Source!BS191,1)*Source!I191),2)*1.75)),0),2)</f>
        <v>100.62</v>
      </c>
      <c r="P534">
        <f>ROUND(IF(Source!BI191=2,(ROUND((Source!CT191/IF(Source!BA191&lt;&gt;0,Source!BA191,1)*Source!I191),2)+ROUND((Source!CR191/IF(Source!BB191&lt;&gt;0,Source!BB191,1)*Source!I191),2)+ROUND((Source!CQ191/IF(Source!BC191&lt;&gt;0,Source!BC191,1)*Source!I191),2)+((Source!DN191/100)*ROUND((Source!CT191/IF(Source!BA191&lt;&gt;0,Source!BA191,1)*Source!I191),2))+((Source!DO191/100)*ROUND((Source!CT191/IF(Source!BA191&lt;&gt;0,Source!BA191,1)*Source!I191),2))+(ROUND((Source!CS191/IF(Source!BS191&lt;&gt;0,Source!BS191,1)*Source!I191),2)*1.75)),0),2)</f>
        <v>0</v>
      </c>
      <c r="Q534">
        <f>ROUND(IF(Source!BI191=3,(ROUND((Source!CT191/IF(Source!BA191&lt;&gt;0,Source!BA191,1)*Source!I191),2)+ROUND((Source!CR191/IF(Source!BB191&lt;&gt;0,Source!BB191,1)*Source!I191),2)+ROUND((Source!CQ191/IF(Source!BC191&lt;&gt;0,Source!BC191,1)*Source!I191),2)+((Source!DN191/100)*ROUND((Source!CT191/IF(Source!BA191&lt;&gt;0,Source!BA191,1)*Source!I191),2))+((Source!DO191/100)*ROUND((Source!CT191/IF(Source!BA191&lt;&gt;0,Source!BA191,1)*Source!I191),2))+(ROUND((Source!CS191/IF(Source!BS191&lt;&gt;0,Source!BS191,1)*Source!I191),2)*1.75)),0),2)</f>
        <v>0</v>
      </c>
      <c r="R534">
        <f>ROUND(IF(Source!BI191=4,(ROUND((Source!CT191/IF(Source!BA191&lt;&gt;0,Source!BA191,1)*Source!I191),2)+ROUND((Source!CR191/IF(Source!BB191&lt;&gt;0,Source!BB191,1)*Source!I191),2)+ROUND((Source!CQ191/IF(Source!BC191&lt;&gt;0,Source!BC191,1)*Source!I191),2)+((Source!DN191/100)*ROUND((Source!CT191/IF(Source!BA191&lt;&gt;0,Source!BA191,1)*Source!I191),2))+((Source!DO191/100)*ROUND((Source!CT191/IF(Source!BA191&lt;&gt;0,Source!BA191,1)*Source!I191),2))+(ROUND((Source!CS191/IF(Source!BS191&lt;&gt;0,Source!BS191,1)*Source!I191),2)*1.75)),0),2)</f>
        <v>0</v>
      </c>
      <c r="U534">
        <f>IF(Source!BI191=1,Source!O191+Source!X191+Source!Y191+Source!R191*167/100,0)</f>
        <v>1110.18</v>
      </c>
      <c r="V534">
        <f>IF(Source!BI191=2,Source!O191+Source!X191+Source!Y191+Source!R191*167/100,0)</f>
        <v>0</v>
      </c>
      <c r="W534">
        <f>IF(Source!BI191=3,Source!O191+Source!X191+Source!Y191+Source!R191*167/100,0)</f>
        <v>0</v>
      </c>
      <c r="X534">
        <f>IF(Source!BI191=4,Source!O191+Source!X191+Source!Y191+Source!R191*167/100,0)</f>
        <v>0</v>
      </c>
    </row>
    <row r="536" spans="3:12" s="34" customFormat="1" ht="12.75">
      <c r="C536" s="34" t="s">
        <v>654</v>
      </c>
      <c r="H536" s="42">
        <f>SUM(M360:M535)</f>
        <v>3849.74</v>
      </c>
      <c r="I536" s="42"/>
      <c r="J536" s="42">
        <f>SUM(N360:N535)</f>
        <v>0</v>
      </c>
      <c r="K536" s="42"/>
      <c r="L536" s="33">
        <f>SUM(L360:L535)</f>
        <v>354.4</v>
      </c>
    </row>
    <row r="538" spans="3:27" ht="15.75">
      <c r="C538" s="24" t="s">
        <v>642</v>
      </c>
      <c r="D538" s="40" t="str">
        <f>IF(Source!C12="1",Source!F209,Source!G209)</f>
        <v>Электротехнические пусконаладочные работы</v>
      </c>
      <c r="E538" s="41"/>
      <c r="F538" s="41"/>
      <c r="G538" s="41"/>
      <c r="H538" s="41"/>
      <c r="I538" s="41"/>
      <c r="J538" s="41"/>
      <c r="K538" s="41"/>
      <c r="AA538" s="35" t="str">
        <f>IF(Source!C12="1",Source!F209,Source!G209)</f>
        <v>Электротехнические пусконаладочные работы</v>
      </c>
    </row>
    <row r="540" spans="1:25" ht="36">
      <c r="A540" s="26" t="str">
        <f>Source!E213</f>
        <v>71</v>
      </c>
      <c r="B540" s="26" t="s">
        <v>670</v>
      </c>
      <c r="C540" s="9" t="str">
        <f>Source!G213</f>
        <v>ИЗМЕРЕНИЕ СОПРОТИВЛЕНИЯ РАСТЕКАНИЮ ТОКА ЗАЗЕМЛИТЕЛЯ</v>
      </c>
      <c r="D540" s="27" t="str">
        <f>Source!H213</f>
        <v>измерение</v>
      </c>
      <c r="E540" s="8">
        <f>ROUND(Source!I213,6)</f>
        <v>1</v>
      </c>
      <c r="F540" s="8"/>
      <c r="G540" s="8"/>
      <c r="H540" s="8"/>
      <c r="I540" s="8"/>
      <c r="J540" s="8"/>
      <c r="K540" s="8"/>
      <c r="Y540">
        <v>81</v>
      </c>
    </row>
    <row r="541" spans="1:11" ht="12.75">
      <c r="A541" s="8"/>
      <c r="B541" s="8"/>
      <c r="C541" s="8" t="s">
        <v>644</v>
      </c>
      <c r="D541" s="8"/>
      <c r="E541" s="8"/>
      <c r="F541" s="11">
        <f>Source!AO213</f>
        <v>15.83</v>
      </c>
      <c r="G541" s="28" t="str">
        <f>Source!DG213</f>
        <v>)*0,8</v>
      </c>
      <c r="H541" s="8">
        <f>Source!AV213</f>
        <v>1</v>
      </c>
      <c r="I541" s="11">
        <f>ROUND((Source!CT213/IF(Source!BA213&lt;&gt;0,Source!BA213,1)*Source!I213),2)</f>
        <v>12.66</v>
      </c>
      <c r="J541" s="8">
        <f>Source!BA213</f>
        <v>13.09</v>
      </c>
      <c r="K541" s="11"/>
    </row>
    <row r="542" spans="1:11" ht="12.75">
      <c r="A542" s="8"/>
      <c r="B542" s="8"/>
      <c r="C542" s="8" t="s">
        <v>647</v>
      </c>
      <c r="D542" s="8" t="s">
        <v>648</v>
      </c>
      <c r="E542" s="8">
        <f>Source!DN213</f>
        <v>75</v>
      </c>
      <c r="F542" s="8"/>
      <c r="G542" s="8"/>
      <c r="H542" s="8"/>
      <c r="I542" s="11">
        <f>ROUND((E542/100)*ROUND((Source!CT213/IF(Source!BA213&lt;&gt;0,Source!BA213,1)*Source!I213),2),2)</f>
        <v>9.5</v>
      </c>
      <c r="J542" s="8">
        <f>Source!AT213</f>
        <v>73</v>
      </c>
      <c r="K542" s="11"/>
    </row>
    <row r="543" spans="1:11" ht="12.75">
      <c r="A543" s="8"/>
      <c r="B543" s="8"/>
      <c r="C543" s="8" t="s">
        <v>649</v>
      </c>
      <c r="D543" s="8" t="s">
        <v>648</v>
      </c>
      <c r="E543" s="8">
        <f>Source!DO213</f>
        <v>70</v>
      </c>
      <c r="F543" s="8"/>
      <c r="G543" s="8"/>
      <c r="H543" s="8"/>
      <c r="I543" s="11">
        <f>ROUND((E543/100)*ROUND((Source!CT213/IF(Source!BA213&lt;&gt;0,Source!BA213,1)*Source!I213),2),2)</f>
        <v>8.86</v>
      </c>
      <c r="J543" s="8">
        <f>Source!AU213</f>
        <v>42</v>
      </c>
      <c r="K543" s="11"/>
    </row>
    <row r="544" spans="1:11" ht="12.75">
      <c r="A544" s="30"/>
      <c r="B544" s="30"/>
      <c r="C544" s="30" t="s">
        <v>651</v>
      </c>
      <c r="D544" s="30" t="s">
        <v>652</v>
      </c>
      <c r="E544" s="30">
        <f>Source!AQ213</f>
        <v>1</v>
      </c>
      <c r="F544" s="30"/>
      <c r="G544" s="31" t="str">
        <f>Source!DI213</f>
        <v>)*0,8</v>
      </c>
      <c r="H544" s="30">
        <f>Source!AV213</f>
        <v>1</v>
      </c>
      <c r="I544" s="32">
        <f>ROUND(Source!U213,2)</f>
        <v>0.8</v>
      </c>
      <c r="J544" s="30"/>
      <c r="K544" s="30"/>
    </row>
    <row r="545" spans="9:24" ht="12.75">
      <c r="I545" s="33">
        <f>ROUND((Source!CT213/IF(Source!BA213&lt;&gt;0,Source!BA213,1)*Source!I213),2)+ROUND((Source!CR213/IF(Source!BB213&lt;&gt;0,Source!BB213,1)*Source!I213),2)+ROUND((Source!CQ213/IF(Source!BC213&lt;&gt;0,Source!BC213,1)*Source!I213),2)+SUM(I542:I543)</f>
        <v>31.02</v>
      </c>
      <c r="J545" s="34"/>
      <c r="K545" s="33"/>
      <c r="L545">
        <f>ROUND((Source!CT213/IF(Source!BA213&lt;&gt;0,Source!BA213,1)*Source!I213),2)</f>
        <v>12.66</v>
      </c>
      <c r="M545" s="12">
        <f>I545</f>
        <v>31.02</v>
      </c>
      <c r="N545" s="12">
        <f>K545</f>
        <v>0</v>
      </c>
      <c r="O545">
        <f>ROUND(IF(Source!BI213=1,(ROUND((Source!CT213/IF(Source!BA213&lt;&gt;0,Source!BA213,1)*Source!I213),2)+ROUND((Source!CR213/IF(Source!BB213&lt;&gt;0,Source!BB213,1)*Source!I213),2)+ROUND((Source!CQ213/IF(Source!BC213&lt;&gt;0,Source!BC213,1)*Source!I213),2)+((Source!DN213/100)*ROUND((Source!CT213/IF(Source!BA213&lt;&gt;0,Source!BA213,1)*Source!I213),2))+((Source!DO213/100)*ROUND((Source!CT213/IF(Source!BA213&lt;&gt;0,Source!BA213,1)*Source!I213),2))+(ROUND((Source!CS213/IF(Source!BS213&lt;&gt;0,Source!BS213,1)*Source!I213),2)*1.75)),0),2)</f>
        <v>0</v>
      </c>
      <c r="P545">
        <f>ROUND(IF(Source!BI213=2,(ROUND((Source!CT213/IF(Source!BA213&lt;&gt;0,Source!BA213,1)*Source!I213),2)+ROUND((Source!CR213/IF(Source!BB213&lt;&gt;0,Source!BB213,1)*Source!I213),2)+ROUND((Source!CQ213/IF(Source!BC213&lt;&gt;0,Source!BC213,1)*Source!I213),2)+((Source!DN213/100)*ROUND((Source!CT213/IF(Source!BA213&lt;&gt;0,Source!BA213,1)*Source!I213),2))+((Source!DO213/100)*ROUND((Source!CT213/IF(Source!BA213&lt;&gt;0,Source!BA213,1)*Source!I213),2))+(ROUND((Source!CS213/IF(Source!BS213&lt;&gt;0,Source!BS213,1)*Source!I213),2)*1.75)),0),2)</f>
        <v>0</v>
      </c>
      <c r="Q545">
        <f>ROUND(IF(Source!BI213=3,(ROUND((Source!CT213/IF(Source!BA213&lt;&gt;0,Source!BA213,1)*Source!I213),2)+ROUND((Source!CR213/IF(Source!BB213&lt;&gt;0,Source!BB213,1)*Source!I213),2)+ROUND((Source!CQ213/IF(Source!BC213&lt;&gt;0,Source!BC213,1)*Source!I213),2)+((Source!DN213/100)*ROUND((Source!CT213/IF(Source!BA213&lt;&gt;0,Source!BA213,1)*Source!I213),2))+((Source!DO213/100)*ROUND((Source!CT213/IF(Source!BA213&lt;&gt;0,Source!BA213,1)*Source!I213),2))+(ROUND((Source!CS213/IF(Source!BS213&lt;&gt;0,Source!BS213,1)*Source!I213),2)*1.75)),0),2)</f>
        <v>0</v>
      </c>
      <c r="R545">
        <f>ROUND(IF(Source!BI213=4,(ROUND((Source!CT213/IF(Source!BA213&lt;&gt;0,Source!BA213,1)*Source!I213),2)+ROUND((Source!CR213/IF(Source!BB213&lt;&gt;0,Source!BB213,1)*Source!I213),2)+ROUND((Source!CQ213/IF(Source!BC213&lt;&gt;0,Source!BC213,1)*Source!I213),2)+((Source!DN213/100)*ROUND((Source!CT213/IF(Source!BA213&lt;&gt;0,Source!BA213,1)*Source!I213),2))+((Source!DO213/100)*ROUND((Source!CT213/IF(Source!BA213&lt;&gt;0,Source!BA213,1)*Source!I213),2))+(ROUND((Source!CS213/IF(Source!BS213&lt;&gt;0,Source!BS213,1)*Source!I213),2)*1.75)),0),2)</f>
        <v>31.02</v>
      </c>
      <c r="U545">
        <f>IF(Source!BI213=1,Source!O213+Source!X213+Source!Y213+Source!R213*167/100,0)</f>
        <v>0</v>
      </c>
      <c r="V545">
        <f>IF(Source!BI213=2,Source!O213+Source!X213+Source!Y213+Source!R213*167/100,0)</f>
        <v>0</v>
      </c>
      <c r="W545">
        <f>IF(Source!BI213=3,Source!O213+Source!X213+Source!Y213+Source!R213*167/100,0)</f>
        <v>0</v>
      </c>
      <c r="X545">
        <f>IF(Source!BI213=4,Source!O213+Source!X213+Source!Y213+Source!R213*167/100,0)</f>
        <v>356.40000000000003</v>
      </c>
    </row>
    <row r="546" spans="1:25" ht="36">
      <c r="A546" s="26" t="str">
        <f>Source!E214</f>
        <v>72</v>
      </c>
      <c r="B546" s="26" t="s">
        <v>671</v>
      </c>
      <c r="C546" s="9" t="str">
        <f>Source!G214</f>
        <v>ПРОВЕРКА НАЛИЧИЯ ЦЕПИ МЕЖДУ ЗАЗЕМЛИТЕЛЯМИ И ЗАЗЕМЛЕННЫМИ ЭЛЕМЕНТАМИ</v>
      </c>
      <c r="D546" s="27" t="str">
        <f>Source!H214</f>
        <v>точка</v>
      </c>
      <c r="E546" s="8">
        <f>ROUND(Source!I214,6)</f>
        <v>1</v>
      </c>
      <c r="F546" s="8"/>
      <c r="G546" s="8"/>
      <c r="H546" s="8"/>
      <c r="I546" s="8"/>
      <c r="J546" s="8"/>
      <c r="K546" s="8"/>
      <c r="Y546">
        <v>82</v>
      </c>
    </row>
    <row r="547" spans="1:11" ht="12.75">
      <c r="A547" s="8"/>
      <c r="B547" s="8"/>
      <c r="C547" s="8" t="s">
        <v>644</v>
      </c>
      <c r="D547" s="8"/>
      <c r="E547" s="8"/>
      <c r="F547" s="11">
        <f>Source!AO214</f>
        <v>2.37</v>
      </c>
      <c r="G547" s="28" t="str">
        <f>Source!DG214</f>
        <v>)*0,8</v>
      </c>
      <c r="H547" s="8">
        <f>Source!AV214</f>
        <v>1</v>
      </c>
      <c r="I547" s="11">
        <f>ROUND((Source!CT214/IF(Source!BA214&lt;&gt;0,Source!BA214,1)*Source!I214),2)</f>
        <v>1.9</v>
      </c>
      <c r="J547" s="8">
        <f>Source!BA214</f>
        <v>13.09</v>
      </c>
      <c r="K547" s="11"/>
    </row>
    <row r="548" spans="1:11" ht="12.75">
      <c r="A548" s="8"/>
      <c r="B548" s="8"/>
      <c r="C548" s="8" t="s">
        <v>647</v>
      </c>
      <c r="D548" s="8" t="s">
        <v>648</v>
      </c>
      <c r="E548" s="8">
        <f>Source!DN214</f>
        <v>75</v>
      </c>
      <c r="F548" s="8"/>
      <c r="G548" s="8"/>
      <c r="H548" s="8"/>
      <c r="I548" s="11">
        <f>ROUND((E548/100)*ROUND((Source!CT214/IF(Source!BA214&lt;&gt;0,Source!BA214,1)*Source!I214),2),2)</f>
        <v>1.43</v>
      </c>
      <c r="J548" s="8">
        <f>Source!AT214</f>
        <v>73</v>
      </c>
      <c r="K548" s="11"/>
    </row>
    <row r="549" spans="1:11" ht="12.75">
      <c r="A549" s="8"/>
      <c r="B549" s="8"/>
      <c r="C549" s="8" t="s">
        <v>649</v>
      </c>
      <c r="D549" s="8" t="s">
        <v>648</v>
      </c>
      <c r="E549" s="8">
        <f>Source!DO214</f>
        <v>70</v>
      </c>
      <c r="F549" s="8"/>
      <c r="G549" s="8"/>
      <c r="H549" s="8"/>
      <c r="I549" s="11">
        <f>ROUND((E549/100)*ROUND((Source!CT214/IF(Source!BA214&lt;&gt;0,Source!BA214,1)*Source!I214),2),2)</f>
        <v>1.33</v>
      </c>
      <c r="J549" s="8">
        <f>Source!AU214</f>
        <v>42</v>
      </c>
      <c r="K549" s="11"/>
    </row>
    <row r="550" spans="1:11" ht="12.75">
      <c r="A550" s="30"/>
      <c r="B550" s="30"/>
      <c r="C550" s="30" t="s">
        <v>651</v>
      </c>
      <c r="D550" s="30" t="s">
        <v>652</v>
      </c>
      <c r="E550" s="30">
        <f>Source!AQ214</f>
        <v>0.15</v>
      </c>
      <c r="F550" s="30"/>
      <c r="G550" s="31" t="str">
        <f>Source!DI214</f>
        <v>)*0,8</v>
      </c>
      <c r="H550" s="30">
        <f>Source!AV214</f>
        <v>1</v>
      </c>
      <c r="I550" s="32">
        <f>ROUND(Source!U214,2)</f>
        <v>0.12</v>
      </c>
      <c r="J550" s="30"/>
      <c r="K550" s="30"/>
    </row>
    <row r="551" spans="9:24" ht="12.75">
      <c r="I551" s="33">
        <f>ROUND((Source!CT214/IF(Source!BA214&lt;&gt;0,Source!BA214,1)*Source!I214),2)+ROUND((Source!CR214/IF(Source!BB214&lt;&gt;0,Source!BB214,1)*Source!I214),2)+ROUND((Source!CQ214/IF(Source!BC214&lt;&gt;0,Source!BC214,1)*Source!I214),2)+SUM(I548:I549)</f>
        <v>4.66</v>
      </c>
      <c r="J551" s="34"/>
      <c r="K551" s="33"/>
      <c r="L551">
        <f>ROUND((Source!CT214/IF(Source!BA214&lt;&gt;0,Source!BA214,1)*Source!I214),2)</f>
        <v>1.9</v>
      </c>
      <c r="M551" s="12">
        <f>I551</f>
        <v>4.66</v>
      </c>
      <c r="N551" s="12">
        <f>K551</f>
        <v>0</v>
      </c>
      <c r="O551">
        <f>ROUND(IF(Source!BI214=1,(ROUND((Source!CT214/IF(Source!BA214&lt;&gt;0,Source!BA214,1)*Source!I214),2)+ROUND((Source!CR214/IF(Source!BB214&lt;&gt;0,Source!BB214,1)*Source!I214),2)+ROUND((Source!CQ214/IF(Source!BC214&lt;&gt;0,Source!BC214,1)*Source!I214),2)+((Source!DN214/100)*ROUND((Source!CT214/IF(Source!BA214&lt;&gt;0,Source!BA214,1)*Source!I214),2))+((Source!DO214/100)*ROUND((Source!CT214/IF(Source!BA214&lt;&gt;0,Source!BA214,1)*Source!I214),2))+(ROUND((Source!CS214/IF(Source!BS214&lt;&gt;0,Source!BS214,1)*Source!I214),2)*1.75)),0),2)</f>
        <v>0</v>
      </c>
      <c r="P551">
        <f>ROUND(IF(Source!BI214=2,(ROUND((Source!CT214/IF(Source!BA214&lt;&gt;0,Source!BA214,1)*Source!I214),2)+ROUND((Source!CR214/IF(Source!BB214&lt;&gt;0,Source!BB214,1)*Source!I214),2)+ROUND((Source!CQ214/IF(Source!BC214&lt;&gt;0,Source!BC214,1)*Source!I214),2)+((Source!DN214/100)*ROUND((Source!CT214/IF(Source!BA214&lt;&gt;0,Source!BA214,1)*Source!I214),2))+((Source!DO214/100)*ROUND((Source!CT214/IF(Source!BA214&lt;&gt;0,Source!BA214,1)*Source!I214),2))+(ROUND((Source!CS214/IF(Source!BS214&lt;&gt;0,Source!BS214,1)*Source!I214),2)*1.75)),0),2)</f>
        <v>0</v>
      </c>
      <c r="Q551">
        <f>ROUND(IF(Source!BI214=3,(ROUND((Source!CT214/IF(Source!BA214&lt;&gt;0,Source!BA214,1)*Source!I214),2)+ROUND((Source!CR214/IF(Source!BB214&lt;&gt;0,Source!BB214,1)*Source!I214),2)+ROUND((Source!CQ214/IF(Source!BC214&lt;&gt;0,Source!BC214,1)*Source!I214),2)+((Source!DN214/100)*ROUND((Source!CT214/IF(Source!BA214&lt;&gt;0,Source!BA214,1)*Source!I214),2))+((Source!DO214/100)*ROUND((Source!CT214/IF(Source!BA214&lt;&gt;0,Source!BA214,1)*Source!I214),2))+(ROUND((Source!CS214/IF(Source!BS214&lt;&gt;0,Source!BS214,1)*Source!I214),2)*1.75)),0),2)</f>
        <v>0</v>
      </c>
      <c r="R551">
        <f>ROUND(IF(Source!BI214=4,(ROUND((Source!CT214/IF(Source!BA214&lt;&gt;0,Source!BA214,1)*Source!I214),2)+ROUND((Source!CR214/IF(Source!BB214&lt;&gt;0,Source!BB214,1)*Source!I214),2)+ROUND((Source!CQ214/IF(Source!BC214&lt;&gt;0,Source!BC214,1)*Source!I214),2)+((Source!DN214/100)*ROUND((Source!CT214/IF(Source!BA214&lt;&gt;0,Source!BA214,1)*Source!I214),2))+((Source!DO214/100)*ROUND((Source!CT214/IF(Source!BA214&lt;&gt;0,Source!BA214,1)*Source!I214),2))+(ROUND((Source!CS214/IF(Source!BS214&lt;&gt;0,Source!BS214,1)*Source!I214),2)*1.75)),0),2)</f>
        <v>4.66</v>
      </c>
      <c r="U551">
        <f>IF(Source!BI214=1,Source!O214+Source!X214+Source!Y214+Source!R214*167/100,0)</f>
        <v>0</v>
      </c>
      <c r="V551">
        <f>IF(Source!BI214=2,Source!O214+Source!X214+Source!Y214+Source!R214*167/100,0)</f>
        <v>0</v>
      </c>
      <c r="W551">
        <f>IF(Source!BI214=3,Source!O214+Source!X214+Source!Y214+Source!R214*167/100,0)</f>
        <v>0</v>
      </c>
      <c r="X551">
        <f>IF(Source!BI214=4,Source!O214+Source!X214+Source!Y214+Source!R214*167/100,0)</f>
        <v>53.36</v>
      </c>
    </row>
    <row r="552" spans="1:25" ht="36">
      <c r="A552" s="26" t="str">
        <f>Source!E215</f>
        <v>73</v>
      </c>
      <c r="B552" s="26" t="s">
        <v>672</v>
      </c>
      <c r="C552" s="9" t="str">
        <f>Source!G215</f>
        <v>ЗАМЕР ПОЛНОГО СОПРОТИВЛЕНИЯ ЦЕПИ "ФАЗА-НУЛЬ"</v>
      </c>
      <c r="D552" s="27" t="str">
        <f>Source!H215</f>
        <v>токоприемник</v>
      </c>
      <c r="E552" s="8">
        <f>ROUND(Source!I215,6)</f>
        <v>1</v>
      </c>
      <c r="F552" s="8"/>
      <c r="G552" s="8"/>
      <c r="H552" s="8"/>
      <c r="I552" s="8"/>
      <c r="J552" s="8"/>
      <c r="K552" s="8"/>
      <c r="Y552">
        <v>83</v>
      </c>
    </row>
    <row r="553" spans="1:11" ht="12.75">
      <c r="A553" s="8"/>
      <c r="B553" s="8"/>
      <c r="C553" s="8" t="s">
        <v>644</v>
      </c>
      <c r="D553" s="8"/>
      <c r="E553" s="8"/>
      <c r="F553" s="11">
        <f>Source!AO215</f>
        <v>15.83</v>
      </c>
      <c r="G553" s="28" t="str">
        <f>Source!DG215</f>
        <v>)*0,8</v>
      </c>
      <c r="H553" s="8">
        <f>Source!AV215</f>
        <v>1</v>
      </c>
      <c r="I553" s="11">
        <f>ROUND((Source!CT215/IF(Source!BA215&lt;&gt;0,Source!BA215,1)*Source!I215),2)</f>
        <v>12.66</v>
      </c>
      <c r="J553" s="8">
        <f>Source!BA215</f>
        <v>13.09</v>
      </c>
      <c r="K553" s="11"/>
    </row>
    <row r="554" spans="1:11" ht="12.75">
      <c r="A554" s="8"/>
      <c r="B554" s="8"/>
      <c r="C554" s="8" t="s">
        <v>647</v>
      </c>
      <c r="D554" s="8" t="s">
        <v>648</v>
      </c>
      <c r="E554" s="8">
        <f>Source!DN215</f>
        <v>75</v>
      </c>
      <c r="F554" s="8"/>
      <c r="G554" s="8"/>
      <c r="H554" s="8"/>
      <c r="I554" s="11">
        <f>ROUND((E554/100)*ROUND((Source!CT215/IF(Source!BA215&lt;&gt;0,Source!BA215,1)*Source!I215),2),2)</f>
        <v>9.5</v>
      </c>
      <c r="J554" s="8">
        <f>Source!AT215</f>
        <v>73</v>
      </c>
      <c r="K554" s="11"/>
    </row>
    <row r="555" spans="1:11" ht="12.75">
      <c r="A555" s="8"/>
      <c r="B555" s="8"/>
      <c r="C555" s="8" t="s">
        <v>649</v>
      </c>
      <c r="D555" s="8" t="s">
        <v>648</v>
      </c>
      <c r="E555" s="8">
        <f>Source!DO215</f>
        <v>70</v>
      </c>
      <c r="F555" s="8"/>
      <c r="G555" s="8"/>
      <c r="H555" s="8"/>
      <c r="I555" s="11">
        <f>ROUND((E555/100)*ROUND((Source!CT215/IF(Source!BA215&lt;&gt;0,Source!BA215,1)*Source!I215),2),2)</f>
        <v>8.86</v>
      </c>
      <c r="J555" s="8">
        <f>Source!AU215</f>
        <v>42</v>
      </c>
      <c r="K555" s="11"/>
    </row>
    <row r="556" spans="1:11" ht="12.75">
      <c r="A556" s="30"/>
      <c r="B556" s="30"/>
      <c r="C556" s="30" t="s">
        <v>651</v>
      </c>
      <c r="D556" s="30" t="s">
        <v>652</v>
      </c>
      <c r="E556" s="30">
        <f>Source!AQ215</f>
        <v>1</v>
      </c>
      <c r="F556" s="30"/>
      <c r="G556" s="31" t="str">
        <f>Source!DI215</f>
        <v>)*0,8</v>
      </c>
      <c r="H556" s="30">
        <f>Source!AV215</f>
        <v>1</v>
      </c>
      <c r="I556" s="32">
        <f>ROUND(Source!U215,2)</f>
        <v>0.8</v>
      </c>
      <c r="J556" s="30"/>
      <c r="K556" s="30"/>
    </row>
    <row r="557" spans="9:24" ht="12.75">
      <c r="I557" s="33">
        <f>ROUND((Source!CT215/IF(Source!BA215&lt;&gt;0,Source!BA215,1)*Source!I215),2)+ROUND((Source!CR215/IF(Source!BB215&lt;&gt;0,Source!BB215,1)*Source!I215),2)+ROUND((Source!CQ215/IF(Source!BC215&lt;&gt;0,Source!BC215,1)*Source!I215),2)+SUM(I554:I555)</f>
        <v>31.02</v>
      </c>
      <c r="J557" s="34"/>
      <c r="K557" s="33"/>
      <c r="L557">
        <f>ROUND((Source!CT215/IF(Source!BA215&lt;&gt;0,Source!BA215,1)*Source!I215),2)</f>
        <v>12.66</v>
      </c>
      <c r="M557" s="12">
        <f>I557</f>
        <v>31.02</v>
      </c>
      <c r="N557" s="12">
        <f>K557</f>
        <v>0</v>
      </c>
      <c r="O557">
        <f>ROUND(IF(Source!BI215=1,(ROUND((Source!CT215/IF(Source!BA215&lt;&gt;0,Source!BA215,1)*Source!I215),2)+ROUND((Source!CR215/IF(Source!BB215&lt;&gt;0,Source!BB215,1)*Source!I215),2)+ROUND((Source!CQ215/IF(Source!BC215&lt;&gt;0,Source!BC215,1)*Source!I215),2)+((Source!DN215/100)*ROUND((Source!CT215/IF(Source!BA215&lt;&gt;0,Source!BA215,1)*Source!I215),2))+((Source!DO215/100)*ROUND((Source!CT215/IF(Source!BA215&lt;&gt;0,Source!BA215,1)*Source!I215),2))+(ROUND((Source!CS215/IF(Source!BS215&lt;&gt;0,Source!BS215,1)*Source!I215),2)*1.75)),0),2)</f>
        <v>0</v>
      </c>
      <c r="P557">
        <f>ROUND(IF(Source!BI215=2,(ROUND((Source!CT215/IF(Source!BA215&lt;&gt;0,Source!BA215,1)*Source!I215),2)+ROUND((Source!CR215/IF(Source!BB215&lt;&gt;0,Source!BB215,1)*Source!I215),2)+ROUND((Source!CQ215/IF(Source!BC215&lt;&gt;0,Source!BC215,1)*Source!I215),2)+((Source!DN215/100)*ROUND((Source!CT215/IF(Source!BA215&lt;&gt;0,Source!BA215,1)*Source!I215),2))+((Source!DO215/100)*ROUND((Source!CT215/IF(Source!BA215&lt;&gt;0,Source!BA215,1)*Source!I215),2))+(ROUND((Source!CS215/IF(Source!BS215&lt;&gt;0,Source!BS215,1)*Source!I215),2)*1.75)),0),2)</f>
        <v>0</v>
      </c>
      <c r="Q557">
        <f>ROUND(IF(Source!BI215=3,(ROUND((Source!CT215/IF(Source!BA215&lt;&gt;0,Source!BA215,1)*Source!I215),2)+ROUND((Source!CR215/IF(Source!BB215&lt;&gt;0,Source!BB215,1)*Source!I215),2)+ROUND((Source!CQ215/IF(Source!BC215&lt;&gt;0,Source!BC215,1)*Source!I215),2)+((Source!DN215/100)*ROUND((Source!CT215/IF(Source!BA215&lt;&gt;0,Source!BA215,1)*Source!I215),2))+((Source!DO215/100)*ROUND((Source!CT215/IF(Source!BA215&lt;&gt;0,Source!BA215,1)*Source!I215),2))+(ROUND((Source!CS215/IF(Source!BS215&lt;&gt;0,Source!BS215,1)*Source!I215),2)*1.75)),0),2)</f>
        <v>0</v>
      </c>
      <c r="R557">
        <f>ROUND(IF(Source!BI215=4,(ROUND((Source!CT215/IF(Source!BA215&lt;&gt;0,Source!BA215,1)*Source!I215),2)+ROUND((Source!CR215/IF(Source!BB215&lt;&gt;0,Source!BB215,1)*Source!I215),2)+ROUND((Source!CQ215/IF(Source!BC215&lt;&gt;0,Source!BC215,1)*Source!I215),2)+((Source!DN215/100)*ROUND((Source!CT215/IF(Source!BA215&lt;&gt;0,Source!BA215,1)*Source!I215),2))+((Source!DO215/100)*ROUND((Source!CT215/IF(Source!BA215&lt;&gt;0,Source!BA215,1)*Source!I215),2))+(ROUND((Source!CS215/IF(Source!BS215&lt;&gt;0,Source!BS215,1)*Source!I215),2)*1.75)),0),2)</f>
        <v>31.02</v>
      </c>
      <c r="U557">
        <f>IF(Source!BI215=1,Source!O215+Source!X215+Source!Y215+Source!R215*167/100,0)</f>
        <v>0</v>
      </c>
      <c r="V557">
        <f>IF(Source!BI215=2,Source!O215+Source!X215+Source!Y215+Source!R215*167/100,0)</f>
        <v>0</v>
      </c>
      <c r="W557">
        <f>IF(Source!BI215=3,Source!O215+Source!X215+Source!Y215+Source!R215*167/100,0)</f>
        <v>0</v>
      </c>
      <c r="X557">
        <f>IF(Source!BI215=4,Source!O215+Source!X215+Source!Y215+Source!R215*167/100,0)</f>
        <v>356.40000000000003</v>
      </c>
    </row>
    <row r="558" spans="1:25" ht="120">
      <c r="A558" s="26" t="str">
        <f>Source!E216</f>
        <v>74</v>
      </c>
      <c r="B558" s="26" t="s">
        <v>673</v>
      </c>
      <c r="C558" s="9" t="str">
        <f>Source!G216</f>
        <v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v>
      </c>
      <c r="D558" s="27" t="str">
        <f>Source!H216</f>
        <v>измерение</v>
      </c>
      <c r="E558" s="8">
        <f>ROUND(Source!I216,6)</f>
        <v>2</v>
      </c>
      <c r="F558" s="8"/>
      <c r="G558" s="8"/>
      <c r="H558" s="8"/>
      <c r="I558" s="8"/>
      <c r="J558" s="8"/>
      <c r="K558" s="8"/>
      <c r="Y558">
        <v>84</v>
      </c>
    </row>
    <row r="559" spans="1:11" ht="12.75">
      <c r="A559" s="8"/>
      <c r="B559" s="8"/>
      <c r="C559" s="8" t="s">
        <v>644</v>
      </c>
      <c r="D559" s="8"/>
      <c r="E559" s="8"/>
      <c r="F559" s="11">
        <f>Source!AO216</f>
        <v>5.7</v>
      </c>
      <c r="G559" s="28" t="str">
        <f>Source!DG216</f>
        <v>)*0,8</v>
      </c>
      <c r="H559" s="8">
        <f>Source!AV216</f>
        <v>1</v>
      </c>
      <c r="I559" s="11">
        <f>ROUND((Source!CT216/IF(Source!BA216&lt;&gt;0,Source!BA216,1)*Source!I216),2)</f>
        <v>9.12</v>
      </c>
      <c r="J559" s="8">
        <f>Source!BA216</f>
        <v>13.09</v>
      </c>
      <c r="K559" s="11"/>
    </row>
    <row r="560" spans="1:11" ht="12.75">
      <c r="A560" s="8"/>
      <c r="B560" s="8"/>
      <c r="C560" s="8" t="s">
        <v>647</v>
      </c>
      <c r="D560" s="8" t="s">
        <v>648</v>
      </c>
      <c r="E560" s="8">
        <f>Source!DN216</f>
        <v>75</v>
      </c>
      <c r="F560" s="8"/>
      <c r="G560" s="8"/>
      <c r="H560" s="8"/>
      <c r="I560" s="11">
        <f>ROUND((E560/100)*ROUND((Source!CT216/IF(Source!BA216&lt;&gt;0,Source!BA216,1)*Source!I216),2),2)</f>
        <v>6.84</v>
      </c>
      <c r="J560" s="8">
        <f>Source!AT216</f>
        <v>73</v>
      </c>
      <c r="K560" s="11"/>
    </row>
    <row r="561" spans="1:11" ht="12.75">
      <c r="A561" s="8"/>
      <c r="B561" s="8"/>
      <c r="C561" s="8" t="s">
        <v>649</v>
      </c>
      <c r="D561" s="8" t="s">
        <v>648</v>
      </c>
      <c r="E561" s="8">
        <f>Source!DO216</f>
        <v>70</v>
      </c>
      <c r="F561" s="8"/>
      <c r="G561" s="8"/>
      <c r="H561" s="8"/>
      <c r="I561" s="11">
        <f>ROUND((E561/100)*ROUND((Source!CT216/IF(Source!BA216&lt;&gt;0,Source!BA216,1)*Source!I216),2),2)</f>
        <v>6.38</v>
      </c>
      <c r="J561" s="8">
        <f>Source!AU216</f>
        <v>42</v>
      </c>
      <c r="K561" s="11"/>
    </row>
    <row r="562" spans="1:11" ht="12.75">
      <c r="A562" s="30"/>
      <c r="B562" s="30"/>
      <c r="C562" s="30" t="s">
        <v>651</v>
      </c>
      <c r="D562" s="30" t="s">
        <v>652</v>
      </c>
      <c r="E562" s="30">
        <f>Source!AQ216</f>
        <v>0.36</v>
      </c>
      <c r="F562" s="30"/>
      <c r="G562" s="31" t="str">
        <f>Source!DI216</f>
        <v>)*0,8</v>
      </c>
      <c r="H562" s="30">
        <f>Source!AV216</f>
        <v>1</v>
      </c>
      <c r="I562" s="32">
        <f>ROUND(Source!U216,2)</f>
        <v>0.58</v>
      </c>
      <c r="J562" s="30"/>
      <c r="K562" s="30"/>
    </row>
    <row r="563" spans="9:24" ht="12.75">
      <c r="I563" s="33">
        <f>ROUND((Source!CT216/IF(Source!BA216&lt;&gt;0,Source!BA216,1)*Source!I216),2)+ROUND((Source!CR216/IF(Source!BB216&lt;&gt;0,Source!BB216,1)*Source!I216),2)+ROUND((Source!CQ216/IF(Source!BC216&lt;&gt;0,Source!BC216,1)*Source!I216),2)+SUM(I560:I561)</f>
        <v>22.339999999999996</v>
      </c>
      <c r="J563" s="34"/>
      <c r="K563" s="33"/>
      <c r="L563">
        <f>ROUND((Source!CT216/IF(Source!BA216&lt;&gt;0,Source!BA216,1)*Source!I216),2)</f>
        <v>9.12</v>
      </c>
      <c r="M563" s="12">
        <f>I563</f>
        <v>22.339999999999996</v>
      </c>
      <c r="N563" s="12">
        <f>K563</f>
        <v>0</v>
      </c>
      <c r="O563">
        <f>ROUND(IF(Source!BI216=1,(ROUND((Source!CT216/IF(Source!BA216&lt;&gt;0,Source!BA216,1)*Source!I216),2)+ROUND((Source!CR216/IF(Source!BB216&lt;&gt;0,Source!BB216,1)*Source!I216),2)+ROUND((Source!CQ216/IF(Source!BC216&lt;&gt;0,Source!BC216,1)*Source!I216),2)+((Source!DN216/100)*ROUND((Source!CT216/IF(Source!BA216&lt;&gt;0,Source!BA216,1)*Source!I216),2))+((Source!DO216/100)*ROUND((Source!CT216/IF(Source!BA216&lt;&gt;0,Source!BA216,1)*Source!I216),2))+(ROUND((Source!CS216/IF(Source!BS216&lt;&gt;0,Source!BS216,1)*Source!I216),2)*1.75)),0),2)</f>
        <v>0</v>
      </c>
      <c r="P563">
        <f>ROUND(IF(Source!BI216=2,(ROUND((Source!CT216/IF(Source!BA216&lt;&gt;0,Source!BA216,1)*Source!I216),2)+ROUND((Source!CR216/IF(Source!BB216&lt;&gt;0,Source!BB216,1)*Source!I216),2)+ROUND((Source!CQ216/IF(Source!BC216&lt;&gt;0,Source!BC216,1)*Source!I216),2)+((Source!DN216/100)*ROUND((Source!CT216/IF(Source!BA216&lt;&gt;0,Source!BA216,1)*Source!I216),2))+((Source!DO216/100)*ROUND((Source!CT216/IF(Source!BA216&lt;&gt;0,Source!BA216,1)*Source!I216),2))+(ROUND((Source!CS216/IF(Source!BS216&lt;&gt;0,Source!BS216,1)*Source!I216),2)*1.75)),0),2)</f>
        <v>0</v>
      </c>
      <c r="Q563">
        <f>ROUND(IF(Source!BI216=3,(ROUND((Source!CT216/IF(Source!BA216&lt;&gt;0,Source!BA216,1)*Source!I216),2)+ROUND((Source!CR216/IF(Source!BB216&lt;&gt;0,Source!BB216,1)*Source!I216),2)+ROUND((Source!CQ216/IF(Source!BC216&lt;&gt;0,Source!BC216,1)*Source!I216),2)+((Source!DN216/100)*ROUND((Source!CT216/IF(Source!BA216&lt;&gt;0,Source!BA216,1)*Source!I216),2))+((Source!DO216/100)*ROUND((Source!CT216/IF(Source!BA216&lt;&gt;0,Source!BA216,1)*Source!I216),2))+(ROUND((Source!CS216/IF(Source!BS216&lt;&gt;0,Source!BS216,1)*Source!I216),2)*1.75)),0),2)</f>
        <v>0</v>
      </c>
      <c r="R563">
        <f>ROUND(IF(Source!BI216=4,(ROUND((Source!CT216/IF(Source!BA216&lt;&gt;0,Source!BA216,1)*Source!I216),2)+ROUND((Source!CR216/IF(Source!BB216&lt;&gt;0,Source!BB216,1)*Source!I216),2)+ROUND((Source!CQ216/IF(Source!BC216&lt;&gt;0,Source!BC216,1)*Source!I216),2)+((Source!DN216/100)*ROUND((Source!CT216/IF(Source!BA216&lt;&gt;0,Source!BA216,1)*Source!I216),2))+((Source!DO216/100)*ROUND((Source!CT216/IF(Source!BA216&lt;&gt;0,Source!BA216,1)*Source!I216),2))+(ROUND((Source!CS216/IF(Source!BS216&lt;&gt;0,Source!BS216,1)*Source!I216),2)*1.75)),0),2)</f>
        <v>22.34</v>
      </c>
      <c r="U563">
        <f>IF(Source!BI216=1,Source!O216+Source!X216+Source!Y216+Source!R216*167/100,0)</f>
        <v>0</v>
      </c>
      <c r="V563">
        <f>IF(Source!BI216=2,Source!O216+Source!X216+Source!Y216+Source!R216*167/100,0)</f>
        <v>0</v>
      </c>
      <c r="W563">
        <f>IF(Source!BI216=3,Source!O216+Source!X216+Source!Y216+Source!R216*167/100,0)</f>
        <v>0</v>
      </c>
      <c r="X563">
        <f>IF(Source!BI216=4,Source!O216+Source!X216+Source!Y216+Source!R216*167/100,0)</f>
        <v>256.67</v>
      </c>
    </row>
    <row r="565" spans="3:12" s="34" customFormat="1" ht="12.75">
      <c r="C565" s="34" t="s">
        <v>654</v>
      </c>
      <c r="H565" s="42">
        <f>SUM(M540:M564)</f>
        <v>89.03999999999999</v>
      </c>
      <c r="I565" s="42"/>
      <c r="J565" s="42">
        <f>SUM(N540:N564)</f>
        <v>0</v>
      </c>
      <c r="K565" s="42"/>
      <c r="L565" s="33">
        <f>SUM(L540:L564)</f>
        <v>36.339999999999996</v>
      </c>
    </row>
    <row r="567" spans="3:27" ht="15.75">
      <c r="C567" s="24" t="s">
        <v>642</v>
      </c>
      <c r="D567" s="40" t="str">
        <f>IF(Source!C12="1",Source!F234,Source!G234)</f>
        <v>Организация дорожного движения на период строительства</v>
      </c>
      <c r="E567" s="41"/>
      <c r="F567" s="41"/>
      <c r="G567" s="41"/>
      <c r="H567" s="41"/>
      <c r="I567" s="41"/>
      <c r="J567" s="41"/>
      <c r="K567" s="41"/>
      <c r="AA567" s="35" t="str">
        <f>IF(Source!C12="1",Source!F234,Source!G234)</f>
        <v>Организация дорожного движения на период строительства</v>
      </c>
    </row>
    <row r="569" spans="1:25" ht="24">
      <c r="A569" s="26" t="str">
        <f>Source!E238</f>
        <v>75</v>
      </c>
      <c r="B569" s="26" t="str">
        <f>Source!F238</f>
        <v>6.68-41-1</v>
      </c>
      <c r="C569" s="9" t="str">
        <f>Source!G238</f>
        <v>ОГРАЖДЕНИЕ ПРЕДРЕМОНТНОЙ ЗОНЫ</v>
      </c>
      <c r="D569" s="27" t="str">
        <f>Source!H238</f>
        <v>м</v>
      </c>
      <c r="E569" s="8">
        <f>ROUND(Source!I238,6)</f>
        <v>100</v>
      </c>
      <c r="F569" s="8"/>
      <c r="G569" s="8"/>
      <c r="H569" s="8"/>
      <c r="I569" s="8"/>
      <c r="J569" s="8"/>
      <c r="K569" s="8"/>
      <c r="Y569">
        <v>85</v>
      </c>
    </row>
    <row r="570" spans="1:11" ht="12.75">
      <c r="A570" s="8"/>
      <c r="B570" s="8"/>
      <c r="C570" s="8" t="s">
        <v>644</v>
      </c>
      <c r="D570" s="8"/>
      <c r="E570" s="8"/>
      <c r="F570" s="11">
        <f>Source!AO238</f>
        <v>0.41</v>
      </c>
      <c r="G570" s="28">
        <f>Source!DG238</f>
      </c>
      <c r="H570" s="8">
        <f>Source!AV238</f>
        <v>1</v>
      </c>
      <c r="I570" s="11">
        <f>ROUND((Source!CT238/IF(Source!BA238&lt;&gt;0,Source!BA238,1)*Source!I238),2)</f>
        <v>41</v>
      </c>
      <c r="J570" s="8">
        <f>Source!BA238</f>
        <v>13.09</v>
      </c>
      <c r="K570" s="11"/>
    </row>
    <row r="571" spans="1:11" ht="12.75">
      <c r="A571" s="8"/>
      <c r="B571" s="8"/>
      <c r="C571" s="8" t="s">
        <v>645</v>
      </c>
      <c r="D571" s="8"/>
      <c r="E571" s="8"/>
      <c r="F571" s="11">
        <f>Source!AM238</f>
        <v>0.8</v>
      </c>
      <c r="G571" s="28">
        <f>Source!DE238</f>
      </c>
      <c r="H571" s="8">
        <f>Source!AV238</f>
        <v>1</v>
      </c>
      <c r="I571" s="11">
        <f>ROUND((Source!CR238/IF(Source!BB238&lt;&gt;0,Source!BB238,1)*Source!I238),2)</f>
        <v>80</v>
      </c>
      <c r="J571" s="8">
        <f>Source!BB238</f>
        <v>7.9</v>
      </c>
      <c r="K571" s="11"/>
    </row>
    <row r="572" spans="1:12" ht="12.75">
      <c r="A572" s="8"/>
      <c r="B572" s="8"/>
      <c r="C572" s="8" t="s">
        <v>646</v>
      </c>
      <c r="D572" s="8"/>
      <c r="E572" s="8"/>
      <c r="F572" s="11">
        <f>Source!AN238</f>
        <v>0.2</v>
      </c>
      <c r="G572" s="28">
        <f>Source!DF238</f>
      </c>
      <c r="H572" s="8">
        <f>Source!AV238</f>
        <v>1</v>
      </c>
      <c r="I572" s="29" t="str">
        <f>CONCATENATE("(",TEXT(+ROUND((Source!CS238/IF(J572&lt;&gt;0,J572,1)*Source!I238),2),"0,00"),")")</f>
        <v>(20,00)</v>
      </c>
      <c r="J572" s="8">
        <f>Source!BS238</f>
        <v>13.09</v>
      </c>
      <c r="K572" s="29"/>
      <c r="L572">
        <f>ROUND(IF(J572&lt;&gt;0,Source!R238/J572,Source!R238),2)</f>
        <v>20</v>
      </c>
    </row>
    <row r="573" spans="1:11" ht="12.75">
      <c r="A573" s="8"/>
      <c r="B573" s="8"/>
      <c r="C573" s="8" t="s">
        <v>647</v>
      </c>
      <c r="D573" s="8" t="s">
        <v>648</v>
      </c>
      <c r="E573" s="8">
        <f>Source!DN238</f>
        <v>140</v>
      </c>
      <c r="F573" s="8"/>
      <c r="G573" s="8"/>
      <c r="H573" s="8"/>
      <c r="I573" s="11">
        <f>ROUND((E573/100)*ROUND((Source!CT238/IF(Source!BA238&lt;&gt;0,Source!BA238,1)*Source!I238),2),2)</f>
        <v>57.4</v>
      </c>
      <c r="J573" s="8">
        <f>Source!AT238</f>
        <v>120</v>
      </c>
      <c r="K573" s="11"/>
    </row>
    <row r="574" spans="1:11" ht="12.75">
      <c r="A574" s="8"/>
      <c r="B574" s="8"/>
      <c r="C574" s="8" t="s">
        <v>649</v>
      </c>
      <c r="D574" s="8" t="s">
        <v>648</v>
      </c>
      <c r="E574" s="8">
        <f>Source!DO238</f>
        <v>79</v>
      </c>
      <c r="F574" s="8"/>
      <c r="G574" s="8"/>
      <c r="H574" s="8"/>
      <c r="I574" s="11">
        <f>ROUND((E574/100)*ROUND((Source!CT238/IF(Source!BA238&lt;&gt;0,Source!BA238,1)*Source!I238),2),2)</f>
        <v>32.39</v>
      </c>
      <c r="J574" s="8">
        <f>Source!AU238</f>
        <v>42</v>
      </c>
      <c r="K574" s="11"/>
    </row>
    <row r="575" spans="1:11" ht="12.75">
      <c r="A575" s="8"/>
      <c r="B575" s="8"/>
      <c r="C575" s="8" t="s">
        <v>650</v>
      </c>
      <c r="D575" s="8" t="s">
        <v>648</v>
      </c>
      <c r="E575" s="8">
        <v>175</v>
      </c>
      <c r="F575" s="8"/>
      <c r="G575" s="8"/>
      <c r="H575" s="8"/>
      <c r="I575" s="11">
        <f>ROUND(ROUND((Source!CS238/IF(Source!BS238&lt;&gt;0,Source!BS238,1)*Source!I238),2)*1.75,2)</f>
        <v>35</v>
      </c>
      <c r="J575" s="8">
        <v>167</v>
      </c>
      <c r="K575" s="11"/>
    </row>
    <row r="576" spans="1:11" ht="12.75">
      <c r="A576" s="30"/>
      <c r="B576" s="30"/>
      <c r="C576" s="30" t="s">
        <v>651</v>
      </c>
      <c r="D576" s="30" t="s">
        <v>652</v>
      </c>
      <c r="E576" s="30">
        <f>Source!AQ238</f>
        <v>0.04</v>
      </c>
      <c r="F576" s="30"/>
      <c r="G576" s="31">
        <f>Source!DI238</f>
      </c>
      <c r="H576" s="30">
        <f>Source!AV238</f>
        <v>1</v>
      </c>
      <c r="I576" s="32">
        <f>ROUND(Source!U238,2)</f>
        <v>4</v>
      </c>
      <c r="J576" s="30"/>
      <c r="K576" s="30"/>
    </row>
    <row r="577" spans="9:24" ht="12.75">
      <c r="I577" s="33">
        <f>ROUND((Source!CT238/IF(Source!BA238&lt;&gt;0,Source!BA238,1)*Source!I238),2)+ROUND((Source!CR238/IF(Source!BB238&lt;&gt;0,Source!BB238,1)*Source!I238),2)+ROUND((Source!CQ238/IF(Source!BC238&lt;&gt;0,Source!BC238,1)*Source!I238),2)+SUM(I573:I575)</f>
        <v>245.79</v>
      </c>
      <c r="J577" s="34"/>
      <c r="K577" s="33"/>
      <c r="L577">
        <f>ROUND((Source!CT238/IF(Source!BA238&lt;&gt;0,Source!BA238,1)*Source!I238),2)</f>
        <v>41</v>
      </c>
      <c r="M577" s="12">
        <f>I577</f>
        <v>245.79</v>
      </c>
      <c r="N577" s="12">
        <f>K577</f>
        <v>0</v>
      </c>
      <c r="O577">
        <f>ROUND(IF(Source!BI238=1,(ROUND((Source!CT238/IF(Source!BA238&lt;&gt;0,Source!BA238,1)*Source!I238),2)+ROUND((Source!CR238/IF(Source!BB238&lt;&gt;0,Source!BB238,1)*Source!I238),2)+ROUND((Source!CQ238/IF(Source!BC238&lt;&gt;0,Source!BC238,1)*Source!I238),2)+((Source!DN238/100)*ROUND((Source!CT238/IF(Source!BA238&lt;&gt;0,Source!BA238,1)*Source!I238),2))+((Source!DO238/100)*ROUND((Source!CT238/IF(Source!BA238&lt;&gt;0,Source!BA238,1)*Source!I238),2))+(ROUND((Source!CS238/IF(Source!BS238&lt;&gt;0,Source!BS238,1)*Source!I238),2)*1.75)),0),2)</f>
        <v>245.79</v>
      </c>
      <c r="P577">
        <f>ROUND(IF(Source!BI238=2,(ROUND((Source!CT238/IF(Source!BA238&lt;&gt;0,Source!BA238,1)*Source!I238),2)+ROUND((Source!CR238/IF(Source!BB238&lt;&gt;0,Source!BB238,1)*Source!I238),2)+ROUND((Source!CQ238/IF(Source!BC238&lt;&gt;0,Source!BC238,1)*Source!I238),2)+((Source!DN238/100)*ROUND((Source!CT238/IF(Source!BA238&lt;&gt;0,Source!BA238,1)*Source!I238),2))+((Source!DO238/100)*ROUND((Source!CT238/IF(Source!BA238&lt;&gt;0,Source!BA238,1)*Source!I238),2))+(ROUND((Source!CS238/IF(Source!BS238&lt;&gt;0,Source!BS238,1)*Source!I238),2)*1.75)),0),2)</f>
        <v>0</v>
      </c>
      <c r="Q577">
        <f>ROUND(IF(Source!BI238=3,(ROUND((Source!CT238/IF(Source!BA238&lt;&gt;0,Source!BA238,1)*Source!I238),2)+ROUND((Source!CR238/IF(Source!BB238&lt;&gt;0,Source!BB238,1)*Source!I238),2)+ROUND((Source!CQ238/IF(Source!BC238&lt;&gt;0,Source!BC238,1)*Source!I238),2)+((Source!DN238/100)*ROUND((Source!CT238/IF(Source!BA238&lt;&gt;0,Source!BA238,1)*Source!I238),2))+((Source!DO238/100)*ROUND((Source!CT238/IF(Source!BA238&lt;&gt;0,Source!BA238,1)*Source!I238),2))+(ROUND((Source!CS238/IF(Source!BS238&lt;&gt;0,Source!BS238,1)*Source!I238),2)*1.75)),0),2)</f>
        <v>0</v>
      </c>
      <c r="R577">
        <f>ROUND(IF(Source!BI238=4,(ROUND((Source!CT238/IF(Source!BA238&lt;&gt;0,Source!BA238,1)*Source!I238),2)+ROUND((Source!CR238/IF(Source!BB238&lt;&gt;0,Source!BB238,1)*Source!I238),2)+ROUND((Source!CQ238/IF(Source!BC238&lt;&gt;0,Source!BC238,1)*Source!I238),2)+((Source!DN238/100)*ROUND((Source!CT238/IF(Source!BA238&lt;&gt;0,Source!BA238,1)*Source!I238),2))+((Source!DO238/100)*ROUND((Source!CT238/IF(Source!BA238&lt;&gt;0,Source!BA238,1)*Source!I238),2))+(ROUND((Source!CS238/IF(Source!BS238&lt;&gt;0,Source!BS238,1)*Source!I238),2)*1.75)),0),2)</f>
        <v>0</v>
      </c>
      <c r="U577">
        <f>IF(Source!BI238=1,Source!O238+Source!X238+Source!Y238+Source!R238*167/100,0)</f>
        <v>2475.3360000000002</v>
      </c>
      <c r="V577">
        <f>IF(Source!BI238=2,Source!O238+Source!X238+Source!Y238+Source!R238*167/100,0)</f>
        <v>0</v>
      </c>
      <c r="W577">
        <f>IF(Source!BI238=3,Source!O238+Source!X238+Source!Y238+Source!R238*167/100,0)</f>
        <v>0</v>
      </c>
      <c r="X577">
        <f>IF(Source!BI238=4,Source!O238+Source!X238+Source!Y238+Source!R238*167/100,0)</f>
        <v>0</v>
      </c>
    </row>
    <row r="579" spans="3:12" s="34" customFormat="1" ht="12.75">
      <c r="C579" s="34" t="s">
        <v>654</v>
      </c>
      <c r="H579" s="42">
        <f>SUM(M569:M578)</f>
        <v>245.79</v>
      </c>
      <c r="I579" s="42"/>
      <c r="J579" s="42">
        <f>SUM(N569:N578)</f>
        <v>0</v>
      </c>
      <c r="K579" s="42"/>
      <c r="L579" s="33">
        <f>SUM(L569:L578)</f>
        <v>61</v>
      </c>
    </row>
    <row r="581" spans="3:12" s="34" customFormat="1" ht="12.75">
      <c r="C581" s="34" t="s">
        <v>674</v>
      </c>
      <c r="H581" s="42"/>
      <c r="I581" s="42"/>
      <c r="J581" s="42">
        <f>J65+J289+J342+J356+J536+J565+J579</f>
        <v>0</v>
      </c>
      <c r="K581" s="43"/>
      <c r="L581" s="33">
        <f>L65+L289+L342+L356+L536+L565+L579</f>
        <v>3481.57</v>
      </c>
    </row>
    <row r="585" spans="1:8" ht="12.75">
      <c r="A585" t="s">
        <v>675</v>
      </c>
      <c r="C585" s="36" t="str">
        <f>IF(Source!AO12&lt;&gt;"",Source!AO12," ")</f>
        <v> </v>
      </c>
      <c r="D585" s="36"/>
      <c r="E585" s="36"/>
      <c r="F585" s="36"/>
      <c r="G585" s="36"/>
      <c r="H585" t="str">
        <f>IF(Source!R12&lt;&gt;"",Source!R12," ")</f>
        <v> </v>
      </c>
    </row>
    <row r="586" spans="3:7" s="37" customFormat="1" ht="12">
      <c r="C586" s="39" t="s">
        <v>676</v>
      </c>
      <c r="D586" s="39"/>
      <c r="E586" s="39"/>
      <c r="F586" s="39"/>
      <c r="G586" s="39"/>
    </row>
    <row r="588" spans="1:8" ht="12.75">
      <c r="A588" t="s">
        <v>677</v>
      </c>
      <c r="C588" s="36" t="str">
        <f>IF(Source!AP12&lt;&gt;"",Source!AP12," ")</f>
        <v> </v>
      </c>
      <c r="D588" s="36"/>
      <c r="E588" s="36"/>
      <c r="F588" s="36"/>
      <c r="G588" s="36"/>
      <c r="H588" t="str">
        <f>IF(Source!S12&lt;&gt;"",Source!S12," ")</f>
        <v> </v>
      </c>
    </row>
    <row r="589" spans="3:7" s="37" customFormat="1" ht="11.25">
      <c r="C589" s="39" t="s">
        <v>676</v>
      </c>
      <c r="D589" s="39"/>
      <c r="E589" s="39"/>
      <c r="F589" s="39"/>
      <c r="G589" s="39"/>
    </row>
  </sheetData>
  <sheetProtection/>
  <mergeCells count="31">
    <mergeCell ref="A4:K4"/>
    <mergeCell ref="A12:K12"/>
    <mergeCell ref="A5:K5"/>
    <mergeCell ref="A8:K8"/>
    <mergeCell ref="A9:K9"/>
    <mergeCell ref="G23:H23"/>
    <mergeCell ref="D29:K29"/>
    <mergeCell ref="J65:K65"/>
    <mergeCell ref="H65:I65"/>
    <mergeCell ref="D67:K67"/>
    <mergeCell ref="J289:K289"/>
    <mergeCell ref="H289:I289"/>
    <mergeCell ref="D291:K291"/>
    <mergeCell ref="J342:K342"/>
    <mergeCell ref="H342:I342"/>
    <mergeCell ref="D344:K344"/>
    <mergeCell ref="J356:K356"/>
    <mergeCell ref="H356:I356"/>
    <mergeCell ref="D358:K358"/>
    <mergeCell ref="J536:K536"/>
    <mergeCell ref="H536:I536"/>
    <mergeCell ref="J581:K581"/>
    <mergeCell ref="H581:I581"/>
    <mergeCell ref="C586:G586"/>
    <mergeCell ref="C589:G589"/>
    <mergeCell ref="D538:K538"/>
    <mergeCell ref="J565:K565"/>
    <mergeCell ref="H565:I565"/>
    <mergeCell ref="D567:K567"/>
    <mergeCell ref="J579:K579"/>
    <mergeCell ref="H579:I579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2"/>
  <headerFooter>
    <oddHeader>&amp;L&amp;8ООО "ГорИнжПроект"  Доп. раб. место  FStS-0042183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290"/>
  <sheetViews>
    <sheetView zoomScalePageLayoutView="0" workbookViewId="0" topLeftCell="A112">
      <selection activeCell="ES136" sqref="ES136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42183</v>
      </c>
    </row>
    <row r="12" spans="1:104" ht="12.75">
      <c r="A12" s="1">
        <v>1</v>
      </c>
      <c r="B12" s="1">
        <v>1</v>
      </c>
      <c r="C12" s="1">
        <v>0</v>
      </c>
      <c r="D12" s="1">
        <f>ROW(A272)</f>
        <v>272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7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8</v>
      </c>
      <c r="P12" s="1">
        <v>2012</v>
      </c>
      <c r="Q12" s="1">
        <v>3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0</v>
      </c>
      <c r="W12" s="1" t="s">
        <v>6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100</v>
      </c>
      <c r="AK12" s="1">
        <v>67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167</v>
      </c>
      <c r="BB12" s="1">
        <v>100</v>
      </c>
      <c r="BC12" s="1">
        <v>67</v>
      </c>
      <c r="BD12" s="1">
        <v>18916165</v>
      </c>
      <c r="BE12" s="1" t="s">
        <v>9</v>
      </c>
      <c r="BF12" s="1" t="s">
        <v>10</v>
      </c>
      <c r="BG12" s="1">
        <v>18683553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167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7182712</v>
      </c>
      <c r="CL12" s="1" t="s">
        <v>11</v>
      </c>
      <c r="CM12" s="1" t="s">
        <v>12</v>
      </c>
      <c r="CN12" s="1" t="s">
        <v>8</v>
      </c>
      <c r="CO12" s="1" t="s">
        <v>8</v>
      </c>
      <c r="CP12" s="1" t="s">
        <v>8</v>
      </c>
      <c r="CQ12" s="1" t="s">
        <v>8</v>
      </c>
      <c r="CR12" s="1" t="s">
        <v>13</v>
      </c>
      <c r="CS12" s="1">
        <v>8739335</v>
      </c>
      <c r="CT12" s="1">
        <v>0</v>
      </c>
      <c r="CU12" s="1">
        <v>0</v>
      </c>
      <c r="CV12" s="1">
        <v>7534350</v>
      </c>
      <c r="CW12" s="1">
        <v>14462832</v>
      </c>
      <c r="CX12" s="1">
        <v>14996000</v>
      </c>
      <c r="CY12" s="1">
        <v>0</v>
      </c>
      <c r="CZ12" s="1" t="s">
        <v>6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B272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13-55-111_1 ТВ камера_ОККМ_КАБ КАНАЛ_асф )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516286.03</v>
      </c>
      <c r="P18" s="2">
        <f t="shared" si="0"/>
        <v>454494.68</v>
      </c>
      <c r="Q18" s="2">
        <f t="shared" si="0"/>
        <v>26645.05</v>
      </c>
      <c r="R18" s="2">
        <f t="shared" si="0"/>
        <v>10427.77</v>
      </c>
      <c r="S18" s="2">
        <f t="shared" si="0"/>
        <v>35146.3</v>
      </c>
      <c r="T18" s="2">
        <f t="shared" si="0"/>
        <v>0</v>
      </c>
      <c r="U18" s="2">
        <f t="shared" si="0"/>
        <v>206.1</v>
      </c>
      <c r="V18" s="2">
        <f t="shared" si="0"/>
        <v>0</v>
      </c>
      <c r="W18" s="2">
        <f t="shared" si="0"/>
        <v>0</v>
      </c>
      <c r="X18" s="2">
        <f t="shared" si="0"/>
        <v>33437.58</v>
      </c>
      <c r="Y18" s="2">
        <f t="shared" si="0"/>
        <v>14868.12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352725.37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ROW(A256)</f>
        <v>256</v>
      </c>
      <c r="E20" s="1"/>
      <c r="F20" s="1" t="s">
        <v>14</v>
      </c>
      <c r="G20" s="1" t="s">
        <v>14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6</v>
      </c>
      <c r="AP20" s="1" t="s">
        <v>6</v>
      </c>
      <c r="AQ20" s="1" t="s">
        <v>6</v>
      </c>
      <c r="AR20" s="1"/>
      <c r="AS20" s="1"/>
      <c r="AT20" s="1" t="s">
        <v>6</v>
      </c>
      <c r="AU20" s="1" t="s">
        <v>6</v>
      </c>
      <c r="AV20" s="1" t="s">
        <v>6</v>
      </c>
      <c r="AW20" s="1" t="s">
        <v>6</v>
      </c>
      <c r="AX20" s="1" t="s">
        <v>6</v>
      </c>
      <c r="AY20" s="1" t="s">
        <v>6</v>
      </c>
      <c r="AZ20" s="1" t="s">
        <v>6</v>
      </c>
      <c r="BA20" s="1" t="s">
        <v>6</v>
      </c>
      <c r="BB20" s="1" t="s">
        <v>6</v>
      </c>
      <c r="BC20" s="1" t="s">
        <v>6</v>
      </c>
      <c r="BD20" s="1" t="s">
        <v>6</v>
      </c>
      <c r="BE20" s="1" t="s">
        <v>15</v>
      </c>
      <c r="BF20" s="1">
        <v>0</v>
      </c>
      <c r="BG20" s="1">
        <v>0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>
        <v>0</v>
      </c>
      <c r="BN20" s="1" t="s">
        <v>6</v>
      </c>
      <c r="BO20" s="1" t="s">
        <v>6</v>
      </c>
    </row>
    <row r="22" spans="1:43" ht="12.75">
      <c r="A22" s="2">
        <v>52</v>
      </c>
      <c r="B22" s="2">
        <f aca="true" t="shared" si="1" ref="B22:AQ22">B256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516286.03</v>
      </c>
      <c r="P22" s="2">
        <f t="shared" si="1"/>
        <v>454494.68</v>
      </c>
      <c r="Q22" s="2">
        <f t="shared" si="1"/>
        <v>26645.05</v>
      </c>
      <c r="R22" s="2">
        <f t="shared" si="1"/>
        <v>10427.77</v>
      </c>
      <c r="S22" s="2">
        <f t="shared" si="1"/>
        <v>35146.3</v>
      </c>
      <c r="T22" s="2">
        <f t="shared" si="1"/>
        <v>0</v>
      </c>
      <c r="U22" s="2">
        <f t="shared" si="1"/>
        <v>206.1</v>
      </c>
      <c r="V22" s="2">
        <f t="shared" si="1"/>
        <v>0</v>
      </c>
      <c r="W22" s="2">
        <f t="shared" si="1"/>
        <v>0</v>
      </c>
      <c r="X22" s="2">
        <f t="shared" si="1"/>
        <v>33437.58</v>
      </c>
      <c r="Y22" s="2">
        <f t="shared" si="1"/>
        <v>14868.12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352725.37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ROW(A33)</f>
        <v>33</v>
      </c>
      <c r="E24" s="1"/>
      <c r="F24" s="1" t="s">
        <v>16</v>
      </c>
      <c r="G24" s="1" t="s">
        <v>17</v>
      </c>
      <c r="H24" s="1"/>
      <c r="I24" s="1"/>
      <c r="J24" s="1"/>
      <c r="K24" s="1"/>
      <c r="L24" s="1"/>
      <c r="M24" s="1"/>
      <c r="N24" s="1" t="s">
        <v>6</v>
      </c>
      <c r="O24" s="1"/>
      <c r="P24" s="1"/>
      <c r="Q24" s="1"/>
      <c r="R24" s="1" t="s">
        <v>6</v>
      </c>
      <c r="S24" s="1" t="s">
        <v>6</v>
      </c>
      <c r="T24" s="1" t="s">
        <v>6</v>
      </c>
      <c r="U24" s="1" t="s">
        <v>6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6</v>
      </c>
      <c r="AP24" s="1" t="s">
        <v>6</v>
      </c>
      <c r="AQ24" s="1" t="s">
        <v>6</v>
      </c>
      <c r="AR24" s="1"/>
      <c r="AS24" s="1"/>
      <c r="AT24" s="1" t="s">
        <v>6</v>
      </c>
      <c r="AU24" s="1" t="s">
        <v>6</v>
      </c>
      <c r="AV24" s="1" t="s">
        <v>6</v>
      </c>
      <c r="AW24" s="1" t="s">
        <v>6</v>
      </c>
      <c r="AX24" s="1" t="s">
        <v>6</v>
      </c>
      <c r="AY24" s="1" t="s">
        <v>6</v>
      </c>
      <c r="AZ24" s="1" t="s">
        <v>6</v>
      </c>
      <c r="BA24" s="1" t="s">
        <v>6</v>
      </c>
      <c r="BB24" s="1" t="s">
        <v>6</v>
      </c>
      <c r="BC24" s="1" t="s">
        <v>6</v>
      </c>
      <c r="BD24" s="1" t="s">
        <v>6</v>
      </c>
      <c r="BE24" s="1" t="s">
        <v>18</v>
      </c>
      <c r="BF24" s="1">
        <v>0</v>
      </c>
      <c r="BG24" s="1">
        <v>0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>
        <v>0</v>
      </c>
      <c r="BN24" s="1" t="s">
        <v>6</v>
      </c>
      <c r="BO24" s="1">
        <v>0</v>
      </c>
    </row>
    <row r="26" spans="1:43" ht="12.75">
      <c r="A26" s="2">
        <v>52</v>
      </c>
      <c r="B26" s="2">
        <f aca="true" t="shared" si="2" ref="B26:AQ26">B33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3357.1</v>
      </c>
      <c r="P26" s="2">
        <f t="shared" si="2"/>
        <v>0</v>
      </c>
      <c r="Q26" s="2">
        <f t="shared" si="2"/>
        <v>1011.13</v>
      </c>
      <c r="R26" s="2">
        <f t="shared" si="2"/>
        <v>558.1</v>
      </c>
      <c r="S26" s="2">
        <f t="shared" si="2"/>
        <v>2345.97</v>
      </c>
      <c r="T26" s="2">
        <f t="shared" si="2"/>
        <v>0</v>
      </c>
      <c r="U26" s="2">
        <f t="shared" si="2"/>
        <v>14.91</v>
      </c>
      <c r="V26" s="2">
        <f t="shared" si="2"/>
        <v>0</v>
      </c>
      <c r="W26" s="2">
        <f t="shared" si="2"/>
        <v>0</v>
      </c>
      <c r="X26" s="2">
        <f t="shared" si="2"/>
        <v>1973.36</v>
      </c>
      <c r="Y26" s="2">
        <f t="shared" si="2"/>
        <v>985.31</v>
      </c>
      <c r="Z26" s="2">
        <f t="shared" si="2"/>
        <v>0</v>
      </c>
      <c r="AA26" s="2">
        <f t="shared" si="2"/>
        <v>0</v>
      </c>
      <c r="AB26" s="2">
        <f t="shared" si="2"/>
        <v>3357.1</v>
      </c>
      <c r="AC26" s="2">
        <f t="shared" si="2"/>
        <v>0</v>
      </c>
      <c r="AD26" s="2">
        <f t="shared" si="2"/>
        <v>1011.13</v>
      </c>
      <c r="AE26" s="2">
        <f t="shared" si="2"/>
        <v>558.1</v>
      </c>
      <c r="AF26" s="2">
        <f t="shared" si="2"/>
        <v>2345.97</v>
      </c>
      <c r="AG26" s="2">
        <f t="shared" si="2"/>
        <v>0</v>
      </c>
      <c r="AH26" s="2">
        <f t="shared" si="2"/>
        <v>14.91</v>
      </c>
      <c r="AI26" s="2">
        <f t="shared" si="2"/>
        <v>0</v>
      </c>
      <c r="AJ26" s="2">
        <f t="shared" si="2"/>
        <v>0</v>
      </c>
      <c r="AK26" s="2">
        <f t="shared" si="2"/>
        <v>1973.36</v>
      </c>
      <c r="AL26" s="2">
        <f t="shared" si="2"/>
        <v>985.31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94" ht="12.75">
      <c r="A28">
        <v>17</v>
      </c>
      <c r="B28">
        <v>1</v>
      </c>
      <c r="E28" t="s">
        <v>19</v>
      </c>
      <c r="F28" t="s">
        <v>20</v>
      </c>
      <c r="G28" t="s">
        <v>21</v>
      </c>
      <c r="H28" t="s">
        <v>22</v>
      </c>
      <c r="I28">
        <v>4</v>
      </c>
      <c r="J28">
        <v>0</v>
      </c>
      <c r="O28">
        <f>ROUND(CP28,2)</f>
        <v>700.95</v>
      </c>
      <c r="P28">
        <f>ROUND(CQ28*I28,2)</f>
        <v>0</v>
      </c>
      <c r="Q28">
        <f>ROUND(CR28*I28,2)</f>
        <v>138.49</v>
      </c>
      <c r="R28">
        <f>ROUND(CS28*I28,2)</f>
        <v>22.81</v>
      </c>
      <c r="S28">
        <f>ROUND(CT28*I28,2)</f>
        <v>562.46</v>
      </c>
      <c r="T28">
        <f>ROUND(CU28*I28,2)</f>
        <v>0</v>
      </c>
      <c r="U28">
        <f>CV28*I28</f>
        <v>3.484416</v>
      </c>
      <c r="V28">
        <f>CW28*I28</f>
        <v>0</v>
      </c>
      <c r="W28">
        <f>ROUND(CX28*I28,2)</f>
        <v>0</v>
      </c>
      <c r="X28">
        <f aca="true" t="shared" si="3" ref="X28:Y31">ROUND(CY28,2)</f>
        <v>539.96</v>
      </c>
      <c r="Y28">
        <f t="shared" si="3"/>
        <v>236.23</v>
      </c>
      <c r="AA28">
        <v>0</v>
      </c>
      <c r="AB28">
        <f>(AC28+AD28+AF28)</f>
        <v>16.644</v>
      </c>
      <c r="AC28">
        <f>((ES28*0))</f>
        <v>0</v>
      </c>
      <c r="AD28">
        <f>((((ET28*0.4))-((EU28*0.4)))+AE28)</f>
        <v>6.384</v>
      </c>
      <c r="AE28">
        <f>((EU28*0.4))</f>
        <v>0.41600000000000004</v>
      </c>
      <c r="AF28">
        <f>((EV28*0.4))</f>
        <v>10.26</v>
      </c>
      <c r="AG28">
        <f>(AP28)</f>
        <v>0</v>
      </c>
      <c r="AH28">
        <f>((EW28*0.4))</f>
        <v>0.8320000000000001</v>
      </c>
      <c r="AI28">
        <f>((EX28*0.4))</f>
        <v>0</v>
      </c>
      <c r="AJ28">
        <f>(AS28)</f>
        <v>0</v>
      </c>
      <c r="AK28">
        <v>58.9</v>
      </c>
      <c r="AL28">
        <v>17.29</v>
      </c>
      <c r="AM28">
        <v>15.96</v>
      </c>
      <c r="AN28">
        <v>1.04</v>
      </c>
      <c r="AO28">
        <v>25.65</v>
      </c>
      <c r="AP28">
        <v>0</v>
      </c>
      <c r="AQ28">
        <v>2.08</v>
      </c>
      <c r="AR28">
        <v>0</v>
      </c>
      <c r="AS28">
        <v>0</v>
      </c>
      <c r="AT28">
        <v>96</v>
      </c>
      <c r="AU28">
        <v>42</v>
      </c>
      <c r="AV28">
        <v>1.047</v>
      </c>
      <c r="AW28">
        <v>1</v>
      </c>
      <c r="AX28">
        <v>10.055930501585124</v>
      </c>
      <c r="AY28">
        <v>13.09</v>
      </c>
      <c r="AZ28">
        <v>13.09</v>
      </c>
      <c r="BA28">
        <v>13.09</v>
      </c>
      <c r="BB28">
        <v>5.18</v>
      </c>
      <c r="BC28">
        <v>4.56</v>
      </c>
      <c r="BH28">
        <v>0</v>
      </c>
      <c r="BI28">
        <v>2</v>
      </c>
      <c r="BJ28" t="s">
        <v>23</v>
      </c>
      <c r="BM28">
        <v>333</v>
      </c>
      <c r="BN28">
        <v>0</v>
      </c>
      <c r="BO28" t="s">
        <v>20</v>
      </c>
      <c r="BP28">
        <v>1</v>
      </c>
      <c r="BQ28">
        <v>40</v>
      </c>
      <c r="BR28">
        <v>0</v>
      </c>
      <c r="BS28">
        <v>13.09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96</v>
      </c>
      <c r="CA28">
        <v>42</v>
      </c>
      <c r="CF28">
        <v>0</v>
      </c>
      <c r="CG28">
        <v>0</v>
      </c>
      <c r="CM28">
        <v>0</v>
      </c>
      <c r="CN28" t="s">
        <v>24</v>
      </c>
      <c r="CO28">
        <v>0</v>
      </c>
      <c r="CP28">
        <f>(P28+Q28+S28)</f>
        <v>700.95</v>
      </c>
      <c r="CQ28">
        <f>((AC28*AW28))*BC28</f>
        <v>0</v>
      </c>
      <c r="CR28">
        <f>((AD28*AV28))*BB28</f>
        <v>34.623368639999995</v>
      </c>
      <c r="CS28">
        <f>((AE28*AV28))*BS28</f>
        <v>5.70137568</v>
      </c>
      <c r="CT28">
        <f>((AF28*AV28))*BA28</f>
        <v>140.6156598</v>
      </c>
      <c r="CU28">
        <f>(AG28)*BT28</f>
        <v>0</v>
      </c>
      <c r="CV28">
        <f>((AH28*AV28))*BU28</f>
        <v>0.871104</v>
      </c>
      <c r="CW28">
        <f aca="true" t="shared" si="4" ref="CW28:CX31">(AI28)*BV28</f>
        <v>0</v>
      </c>
      <c r="CX28">
        <f t="shared" si="4"/>
        <v>0</v>
      </c>
      <c r="CY28">
        <f>S28*(BZ28/100)</f>
        <v>539.9616</v>
      </c>
      <c r="CZ28">
        <f>S28*(CA28/100)</f>
        <v>236.2332</v>
      </c>
      <c r="DD28" t="s">
        <v>25</v>
      </c>
      <c r="DE28" t="s">
        <v>26</v>
      </c>
      <c r="DF28" t="s">
        <v>26</v>
      </c>
      <c r="DG28" t="s">
        <v>26</v>
      </c>
      <c r="DI28" t="s">
        <v>26</v>
      </c>
      <c r="DJ28" t="s">
        <v>26</v>
      </c>
      <c r="DN28">
        <v>112</v>
      </c>
      <c r="DO28">
        <v>70</v>
      </c>
      <c r="DP28">
        <v>1.047</v>
      </c>
      <c r="DQ28">
        <v>1</v>
      </c>
      <c r="DR28">
        <v>4.56</v>
      </c>
      <c r="DS28">
        <v>10.055930501585124</v>
      </c>
      <c r="DT28">
        <v>13.09</v>
      </c>
      <c r="DU28">
        <v>1010</v>
      </c>
      <c r="DV28" t="s">
        <v>22</v>
      </c>
      <c r="DW28" t="s">
        <v>22</v>
      </c>
      <c r="DX28">
        <v>1</v>
      </c>
      <c r="EE28">
        <v>18683887</v>
      </c>
      <c r="EF28">
        <v>40</v>
      </c>
      <c r="EG28" t="s">
        <v>27</v>
      </c>
      <c r="EH28">
        <v>0</v>
      </c>
      <c r="EJ28">
        <v>2</v>
      </c>
      <c r="EK28">
        <v>333</v>
      </c>
      <c r="EL28" t="s">
        <v>28</v>
      </c>
      <c r="EM28" t="s">
        <v>29</v>
      </c>
      <c r="EO28" t="s">
        <v>30</v>
      </c>
      <c r="EQ28">
        <v>0</v>
      </c>
      <c r="ER28">
        <v>58.9</v>
      </c>
      <c r="ES28">
        <v>17.29</v>
      </c>
      <c r="ET28">
        <v>15.96</v>
      </c>
      <c r="EU28">
        <v>1.04</v>
      </c>
      <c r="EV28">
        <v>25.65</v>
      </c>
      <c r="EW28">
        <v>2.08</v>
      </c>
      <c r="EX28">
        <v>0</v>
      </c>
      <c r="EY28">
        <v>0</v>
      </c>
      <c r="EZ28">
        <v>0</v>
      </c>
      <c r="FQ28">
        <v>0</v>
      </c>
      <c r="FR28">
        <f>ROUND(IF(AND(AA28=0,BI28=3),P28,0),2)</f>
        <v>0</v>
      </c>
      <c r="FS28">
        <v>0</v>
      </c>
      <c r="FX28">
        <v>96</v>
      </c>
      <c r="FY28">
        <v>42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</row>
    <row r="29" spans="1:194" ht="12.75">
      <c r="A29">
        <v>17</v>
      </c>
      <c r="B29">
        <v>1</v>
      </c>
      <c r="C29">
        <f>ROW(SmtRes!A3)</f>
        <v>3</v>
      </c>
      <c r="D29">
        <f>ROW(EtalonRes!A3)</f>
        <v>3</v>
      </c>
      <c r="E29" t="s">
        <v>31</v>
      </c>
      <c r="F29" t="s">
        <v>32</v>
      </c>
      <c r="G29" t="s">
        <v>33</v>
      </c>
      <c r="H29" t="s">
        <v>34</v>
      </c>
      <c r="I29">
        <v>0.9</v>
      </c>
      <c r="J29">
        <v>0</v>
      </c>
      <c r="O29">
        <f>ROUND(CP29,2)</f>
        <v>1749.67</v>
      </c>
      <c r="P29">
        <f>ROUND(CQ29*I29,2)</f>
        <v>0</v>
      </c>
      <c r="Q29">
        <f>ROUND(CR29*I29,2)</f>
        <v>522.49</v>
      </c>
      <c r="R29">
        <f>ROUND(CS29*I29,2)</f>
        <v>321.57</v>
      </c>
      <c r="S29">
        <f>ROUND(CT29*I29,2)</f>
        <v>1227.18</v>
      </c>
      <c r="T29">
        <f>ROUND(CU29*I29,2)</f>
        <v>0</v>
      </c>
      <c r="U29">
        <f>CV29*I29</f>
        <v>7.792820999999998</v>
      </c>
      <c r="V29">
        <f>CW29*I29</f>
        <v>0</v>
      </c>
      <c r="W29">
        <f>ROUND(CX29*I29,2)</f>
        <v>0</v>
      </c>
      <c r="X29">
        <f t="shared" si="3"/>
        <v>895.84</v>
      </c>
      <c r="Y29">
        <f t="shared" si="3"/>
        <v>515.42</v>
      </c>
      <c r="AA29">
        <v>0</v>
      </c>
      <c r="AB29">
        <f>(AC29+AD29+AF29)</f>
        <v>186.81</v>
      </c>
      <c r="AC29">
        <f>(ES29)</f>
        <v>0</v>
      </c>
      <c r="AD29">
        <f>(((ET29)-(EU29))+AE29)</f>
        <v>87.32</v>
      </c>
      <c r="AE29">
        <f>(EU29)</f>
        <v>26.07</v>
      </c>
      <c r="AF29">
        <f>(EV29)</f>
        <v>99.49</v>
      </c>
      <c r="AG29">
        <f>(AP29)</f>
        <v>0</v>
      </c>
      <c r="AH29">
        <f>(EW29)</f>
        <v>8.27</v>
      </c>
      <c r="AI29">
        <f>(EX29)</f>
        <v>0</v>
      </c>
      <c r="AJ29">
        <f>(AS29)</f>
        <v>0</v>
      </c>
      <c r="AK29">
        <v>186.81</v>
      </c>
      <c r="AL29">
        <v>0</v>
      </c>
      <c r="AM29">
        <v>87.32</v>
      </c>
      <c r="AN29">
        <v>26.07</v>
      </c>
      <c r="AO29">
        <v>99.49</v>
      </c>
      <c r="AP29">
        <v>0</v>
      </c>
      <c r="AQ29">
        <v>8.27</v>
      </c>
      <c r="AR29">
        <v>0</v>
      </c>
      <c r="AS29">
        <v>0</v>
      </c>
      <c r="AT29">
        <v>73</v>
      </c>
      <c r="AU29">
        <v>42</v>
      </c>
      <c r="AV29">
        <v>1.047</v>
      </c>
      <c r="AW29">
        <v>1</v>
      </c>
      <c r="AX29">
        <v>9.939538212482432</v>
      </c>
      <c r="AY29">
        <v>13.09</v>
      </c>
      <c r="AZ29">
        <v>13.09</v>
      </c>
      <c r="BA29">
        <v>13.09</v>
      </c>
      <c r="BB29">
        <v>6.35</v>
      </c>
      <c r="BC29">
        <v>1</v>
      </c>
      <c r="BH29">
        <v>0</v>
      </c>
      <c r="BI29">
        <v>1</v>
      </c>
      <c r="BJ29" t="s">
        <v>35</v>
      </c>
      <c r="BM29">
        <v>394</v>
      </c>
      <c r="BN29">
        <v>0</v>
      </c>
      <c r="BO29" t="s">
        <v>32</v>
      </c>
      <c r="BP29">
        <v>1</v>
      </c>
      <c r="BQ29">
        <v>60</v>
      </c>
      <c r="BR29">
        <v>0</v>
      </c>
      <c r="BS29">
        <v>13.09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73</v>
      </c>
      <c r="CA29">
        <v>42</v>
      </c>
      <c r="CF29">
        <v>0</v>
      </c>
      <c r="CG29">
        <v>0</v>
      </c>
      <c r="CM29">
        <v>0</v>
      </c>
      <c r="CO29">
        <v>0</v>
      </c>
      <c r="CP29">
        <f>(P29+Q29+S29)</f>
        <v>1749.67</v>
      </c>
      <c r="CQ29">
        <f>((AC29*AW29))*BC29</f>
        <v>0</v>
      </c>
      <c r="CR29">
        <f>((AD29*AV29))*BB29</f>
        <v>580.5426539999999</v>
      </c>
      <c r="CS29">
        <f>((AE29*AV29))*BS29</f>
        <v>357.29534609999996</v>
      </c>
      <c r="CT29">
        <f>((AF29*AV29))*BA29</f>
        <v>1363.5333326999998</v>
      </c>
      <c r="CU29">
        <f>(AG29)*BT29</f>
        <v>0</v>
      </c>
      <c r="CV29">
        <f>((AH29*AV29))*BU29</f>
        <v>8.658689999999998</v>
      </c>
      <c r="CW29">
        <f t="shared" si="4"/>
        <v>0</v>
      </c>
      <c r="CX29">
        <f t="shared" si="4"/>
        <v>0</v>
      </c>
      <c r="CY29">
        <f>S29*(BZ29/100)</f>
        <v>895.8414</v>
      </c>
      <c r="CZ29">
        <f>S29*(CA29/100)</f>
        <v>515.4156</v>
      </c>
      <c r="DN29">
        <v>80</v>
      </c>
      <c r="DO29">
        <v>55</v>
      </c>
      <c r="DP29">
        <v>1.047</v>
      </c>
      <c r="DQ29">
        <v>1</v>
      </c>
      <c r="DR29">
        <v>1</v>
      </c>
      <c r="DS29">
        <v>9.939538212482432</v>
      </c>
      <c r="DT29">
        <v>13.09</v>
      </c>
      <c r="DU29">
        <v>1007</v>
      </c>
      <c r="DV29" t="s">
        <v>34</v>
      </c>
      <c r="DW29" t="s">
        <v>34</v>
      </c>
      <c r="DX29">
        <v>1</v>
      </c>
      <c r="EE29">
        <v>18683948</v>
      </c>
      <c r="EF29">
        <v>60</v>
      </c>
      <c r="EG29" t="s">
        <v>36</v>
      </c>
      <c r="EH29">
        <v>0</v>
      </c>
      <c r="EJ29">
        <v>1</v>
      </c>
      <c r="EK29">
        <v>394</v>
      </c>
      <c r="EL29" t="s">
        <v>37</v>
      </c>
      <c r="EM29" t="s">
        <v>38</v>
      </c>
      <c r="EQ29">
        <v>64</v>
      </c>
      <c r="ER29">
        <v>186.81</v>
      </c>
      <c r="ES29">
        <v>0</v>
      </c>
      <c r="ET29">
        <v>87.32</v>
      </c>
      <c r="EU29">
        <v>26.07</v>
      </c>
      <c r="EV29">
        <v>99.49</v>
      </c>
      <c r="EW29">
        <v>8.27</v>
      </c>
      <c r="EX29">
        <v>0</v>
      </c>
      <c r="EY29">
        <v>0</v>
      </c>
      <c r="EZ29">
        <v>0</v>
      </c>
      <c r="FQ29">
        <v>0</v>
      </c>
      <c r="FR29">
        <f>ROUND(IF(AND(AA29=0,BI29=3),P29,0),2)</f>
        <v>0</v>
      </c>
      <c r="FS29">
        <v>0</v>
      </c>
      <c r="FX29">
        <v>73</v>
      </c>
      <c r="FY29">
        <v>42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1</v>
      </c>
      <c r="GL29">
        <v>0</v>
      </c>
    </row>
    <row r="30" spans="1:194" ht="12.75">
      <c r="A30">
        <v>17</v>
      </c>
      <c r="B30">
        <v>1</v>
      </c>
      <c r="C30">
        <f>ROW(SmtRes!A5)</f>
        <v>5</v>
      </c>
      <c r="D30">
        <f>ROW(EtalonRes!A5)</f>
        <v>5</v>
      </c>
      <c r="E30" t="s">
        <v>39</v>
      </c>
      <c r="F30" t="s">
        <v>40</v>
      </c>
      <c r="G30" t="s">
        <v>41</v>
      </c>
      <c r="H30" t="s">
        <v>42</v>
      </c>
      <c r="I30">
        <v>1</v>
      </c>
      <c r="J30">
        <v>0</v>
      </c>
      <c r="O30">
        <f>ROUND(CP30,2)</f>
        <v>524.6</v>
      </c>
      <c r="P30">
        <f>ROUND(CQ30*I30,2)</f>
        <v>0</v>
      </c>
      <c r="Q30">
        <f>ROUND(CR30*I30,2)</f>
        <v>350.15</v>
      </c>
      <c r="R30">
        <f>ROUND(CS30*I30,2)</f>
        <v>213.72</v>
      </c>
      <c r="S30">
        <f>ROUND(CT30*I30,2)</f>
        <v>174.45</v>
      </c>
      <c r="T30">
        <f>ROUND(CU30*I30,2)</f>
        <v>0</v>
      </c>
      <c r="U30">
        <f>CV30*I30</f>
        <v>1.11961</v>
      </c>
      <c r="V30">
        <f>CW30*I30</f>
        <v>0</v>
      </c>
      <c r="W30">
        <f>ROUND(CX30*I30,2)</f>
        <v>0</v>
      </c>
      <c r="X30">
        <f t="shared" si="3"/>
        <v>170.96</v>
      </c>
      <c r="Y30">
        <f t="shared" si="3"/>
        <v>73.27</v>
      </c>
      <c r="AA30">
        <v>0</v>
      </c>
      <c r="AB30">
        <f>(AC30+AD30+AF30)</f>
        <v>63.309999999999995</v>
      </c>
      <c r="AC30">
        <f>(ES30)</f>
        <v>0</v>
      </c>
      <c r="AD30">
        <f>(((ET30)-(EU30))+AE30)</f>
        <v>51.05</v>
      </c>
      <c r="AE30">
        <f>(EU30)</f>
        <v>15.02</v>
      </c>
      <c r="AF30">
        <f>(EV30)</f>
        <v>12.26</v>
      </c>
      <c r="AG30">
        <f>(AP30)</f>
        <v>0</v>
      </c>
      <c r="AH30">
        <f>(EW30)</f>
        <v>1.03</v>
      </c>
      <c r="AI30">
        <f>(EX30)</f>
        <v>0</v>
      </c>
      <c r="AJ30">
        <f>(AS30)</f>
        <v>0</v>
      </c>
      <c r="AK30">
        <v>63.31</v>
      </c>
      <c r="AL30">
        <v>0</v>
      </c>
      <c r="AM30">
        <v>51.05</v>
      </c>
      <c r="AN30">
        <v>15.02</v>
      </c>
      <c r="AO30">
        <v>12.26</v>
      </c>
      <c r="AP30">
        <v>0</v>
      </c>
      <c r="AQ30">
        <v>1.03</v>
      </c>
      <c r="AR30">
        <v>0</v>
      </c>
      <c r="AS30">
        <v>0</v>
      </c>
      <c r="AT30">
        <v>98</v>
      </c>
      <c r="AU30">
        <v>42</v>
      </c>
      <c r="AV30">
        <v>1.087</v>
      </c>
      <c r="AW30">
        <v>1</v>
      </c>
      <c r="AX30">
        <v>7.62297782483965</v>
      </c>
      <c r="AY30">
        <v>13.09</v>
      </c>
      <c r="AZ30">
        <v>13.09</v>
      </c>
      <c r="BA30">
        <v>13.09</v>
      </c>
      <c r="BB30">
        <v>6.31</v>
      </c>
      <c r="BC30">
        <v>1</v>
      </c>
      <c r="BH30">
        <v>0</v>
      </c>
      <c r="BI30">
        <v>1</v>
      </c>
      <c r="BJ30" t="s">
        <v>43</v>
      </c>
      <c r="BM30">
        <v>235</v>
      </c>
      <c r="BN30">
        <v>0</v>
      </c>
      <c r="BO30" t="s">
        <v>40</v>
      </c>
      <c r="BP30">
        <v>1</v>
      </c>
      <c r="BQ30">
        <v>30</v>
      </c>
      <c r="BR30">
        <v>0</v>
      </c>
      <c r="BS30">
        <v>13.09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98</v>
      </c>
      <c r="CA30">
        <v>42</v>
      </c>
      <c r="CF30">
        <v>0</v>
      </c>
      <c r="CG30">
        <v>0</v>
      </c>
      <c r="CM30">
        <v>0</v>
      </c>
      <c r="CO30">
        <v>0</v>
      </c>
      <c r="CP30">
        <f>(P30+Q30+S30)</f>
        <v>524.5999999999999</v>
      </c>
      <c r="CQ30">
        <f>((AC30*AW30))*BC30</f>
        <v>0</v>
      </c>
      <c r="CR30">
        <f>((AD30*AV30))*BB30</f>
        <v>350.15041849999994</v>
      </c>
      <c r="CS30">
        <f>((AE30*AV30))*BS30</f>
        <v>213.71702659999997</v>
      </c>
      <c r="CT30">
        <f>((AF30*AV30))*BA30</f>
        <v>174.4454558</v>
      </c>
      <c r="CU30">
        <f>(AG30)*BT30</f>
        <v>0</v>
      </c>
      <c r="CV30">
        <f>((AH30*AV30))*BU30</f>
        <v>1.11961</v>
      </c>
      <c r="CW30">
        <f t="shared" si="4"/>
        <v>0</v>
      </c>
      <c r="CX30">
        <f t="shared" si="4"/>
        <v>0</v>
      </c>
      <c r="CY30">
        <f>S30*(BZ30/100)</f>
        <v>170.96099999999998</v>
      </c>
      <c r="CZ30">
        <f>S30*(CA30/100)</f>
        <v>73.26899999999999</v>
      </c>
      <c r="DN30">
        <v>114</v>
      </c>
      <c r="DO30">
        <v>80</v>
      </c>
      <c r="DP30">
        <v>1.087</v>
      </c>
      <c r="DQ30">
        <v>1</v>
      </c>
      <c r="DR30">
        <v>1</v>
      </c>
      <c r="DS30">
        <v>7.62297782483965</v>
      </c>
      <c r="DT30">
        <v>13.09</v>
      </c>
      <c r="DU30">
        <v>1013</v>
      </c>
      <c r="DV30" t="s">
        <v>42</v>
      </c>
      <c r="DW30" t="s">
        <v>42</v>
      </c>
      <c r="DX30">
        <v>1</v>
      </c>
      <c r="EE30">
        <v>18683789</v>
      </c>
      <c r="EF30">
        <v>30</v>
      </c>
      <c r="EG30" t="s">
        <v>44</v>
      </c>
      <c r="EH30">
        <v>0</v>
      </c>
      <c r="EJ30">
        <v>1</v>
      </c>
      <c r="EK30">
        <v>235</v>
      </c>
      <c r="EL30" t="s">
        <v>45</v>
      </c>
      <c r="EM30" t="s">
        <v>46</v>
      </c>
      <c r="EQ30">
        <v>64</v>
      </c>
      <c r="ER30">
        <v>63.31</v>
      </c>
      <c r="ES30">
        <v>0</v>
      </c>
      <c r="ET30">
        <v>51.05</v>
      </c>
      <c r="EU30">
        <v>15.02</v>
      </c>
      <c r="EV30">
        <v>12.26</v>
      </c>
      <c r="EW30">
        <v>1.03</v>
      </c>
      <c r="EX30">
        <v>0</v>
      </c>
      <c r="EY30">
        <v>0</v>
      </c>
      <c r="EZ30">
        <v>0</v>
      </c>
      <c r="FQ30">
        <v>0</v>
      </c>
      <c r="FR30">
        <f>ROUND(IF(AND(AA30=0,BI30=3),P30,0),2)</f>
        <v>0</v>
      </c>
      <c r="FS30">
        <v>0</v>
      </c>
      <c r="FX30">
        <v>98</v>
      </c>
      <c r="FY30">
        <v>42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</row>
    <row r="31" spans="1:194" ht="12.75">
      <c r="A31">
        <v>17</v>
      </c>
      <c r="B31">
        <v>1</v>
      </c>
      <c r="C31">
        <f>ROW(SmtRes!A6)</f>
        <v>6</v>
      </c>
      <c r="D31">
        <f>ROW(EtalonRes!A6)</f>
        <v>6</v>
      </c>
      <c r="E31" t="s">
        <v>47</v>
      </c>
      <c r="F31" t="s">
        <v>48</v>
      </c>
      <c r="G31" t="s">
        <v>49</v>
      </c>
      <c r="H31" t="s">
        <v>22</v>
      </c>
      <c r="I31">
        <v>1</v>
      </c>
      <c r="J31">
        <v>0</v>
      </c>
      <c r="O31">
        <f>ROUND(CP31,2)</f>
        <v>381.88</v>
      </c>
      <c r="P31">
        <f>ROUND(CQ31*I31,2)</f>
        <v>0</v>
      </c>
      <c r="Q31">
        <f>ROUND(CR31*I31,2)</f>
        <v>0</v>
      </c>
      <c r="R31">
        <f>ROUND(CS31*I31,2)</f>
        <v>0</v>
      </c>
      <c r="S31">
        <f>ROUND(CT31*I31,2)</f>
        <v>381.88</v>
      </c>
      <c r="T31">
        <f>ROUND(CU31*I31,2)</f>
        <v>0</v>
      </c>
      <c r="U31">
        <f>CV31*I31</f>
        <v>2.5128000000000004</v>
      </c>
      <c r="V31">
        <f>CW31*I31</f>
        <v>0</v>
      </c>
      <c r="W31">
        <f>ROUND(CX31*I31,2)</f>
        <v>0</v>
      </c>
      <c r="X31">
        <f t="shared" si="3"/>
        <v>366.6</v>
      </c>
      <c r="Y31">
        <f t="shared" si="3"/>
        <v>160.39</v>
      </c>
      <c r="AA31">
        <v>0</v>
      </c>
      <c r="AB31">
        <f>(AC31+AD31+AF31)</f>
        <v>27.864</v>
      </c>
      <c r="AC31">
        <f>((ES31*0))</f>
        <v>0</v>
      </c>
      <c r="AD31">
        <f>((((ET31*0.4))-((EU31*0.4)))+AE31)</f>
        <v>0</v>
      </c>
      <c r="AE31">
        <f>((EU31*0.4))</f>
        <v>0</v>
      </c>
      <c r="AF31">
        <f>((EV31*0.4))</f>
        <v>27.864</v>
      </c>
      <c r="AG31">
        <f>(AP31)</f>
        <v>0</v>
      </c>
      <c r="AH31">
        <f>((EW31*0.4))</f>
        <v>2.4000000000000004</v>
      </c>
      <c r="AI31">
        <f>((EX31*0.4))</f>
        <v>0</v>
      </c>
      <c r="AJ31">
        <f>(AS31)</f>
        <v>0</v>
      </c>
      <c r="AK31">
        <v>75.75</v>
      </c>
      <c r="AL31">
        <v>6.09</v>
      </c>
      <c r="AM31">
        <v>0</v>
      </c>
      <c r="AN31">
        <v>0</v>
      </c>
      <c r="AO31">
        <v>69.66</v>
      </c>
      <c r="AP31">
        <v>0</v>
      </c>
      <c r="AQ31">
        <v>6</v>
      </c>
      <c r="AR31">
        <v>0</v>
      </c>
      <c r="AS31">
        <v>0</v>
      </c>
      <c r="AT31">
        <v>96</v>
      </c>
      <c r="AU31">
        <v>42</v>
      </c>
      <c r="AV31">
        <v>1.047</v>
      </c>
      <c r="AW31">
        <v>1</v>
      </c>
      <c r="AX31">
        <v>13.09</v>
      </c>
      <c r="AY31">
        <v>13.09</v>
      </c>
      <c r="AZ31">
        <v>13.09</v>
      </c>
      <c r="BA31">
        <v>13.09</v>
      </c>
      <c r="BB31">
        <v>1</v>
      </c>
      <c r="BC31">
        <v>4.56</v>
      </c>
      <c r="BH31">
        <v>0</v>
      </c>
      <c r="BI31">
        <v>2</v>
      </c>
      <c r="BJ31" t="s">
        <v>50</v>
      </c>
      <c r="BM31">
        <v>336</v>
      </c>
      <c r="BN31">
        <v>0</v>
      </c>
      <c r="BO31" t="s">
        <v>48</v>
      </c>
      <c r="BP31">
        <v>1</v>
      </c>
      <c r="BQ31">
        <v>40</v>
      </c>
      <c r="BR31">
        <v>0</v>
      </c>
      <c r="BS31">
        <v>13.09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96</v>
      </c>
      <c r="CA31">
        <v>42</v>
      </c>
      <c r="CF31">
        <v>0</v>
      </c>
      <c r="CG31">
        <v>0</v>
      </c>
      <c r="CM31">
        <v>0</v>
      </c>
      <c r="CN31" t="s">
        <v>24</v>
      </c>
      <c r="CO31">
        <v>0</v>
      </c>
      <c r="CP31">
        <f>(P31+Q31+S31)</f>
        <v>381.88</v>
      </c>
      <c r="CQ31">
        <f>((AC31*AW31))*BC31</f>
        <v>0</v>
      </c>
      <c r="CR31">
        <f>((AD31*AV31))*BB31</f>
        <v>0</v>
      </c>
      <c r="CS31">
        <f>((AE31*AV31))*BS31</f>
        <v>0</v>
      </c>
      <c r="CT31">
        <f>((AF31*AV31))*BA31</f>
        <v>381.88252872</v>
      </c>
      <c r="CU31">
        <f>(AG31)*BT31</f>
        <v>0</v>
      </c>
      <c r="CV31">
        <f>((AH31*AV31))*BU31</f>
        <v>2.5128000000000004</v>
      </c>
      <c r="CW31">
        <f t="shared" si="4"/>
        <v>0</v>
      </c>
      <c r="CX31">
        <f t="shared" si="4"/>
        <v>0</v>
      </c>
      <c r="CY31">
        <f>S31*(BZ31/100)</f>
        <v>366.60479999999995</v>
      </c>
      <c r="CZ31">
        <f>S31*(CA31/100)</f>
        <v>160.3896</v>
      </c>
      <c r="DD31" t="s">
        <v>25</v>
      </c>
      <c r="DE31" t="s">
        <v>26</v>
      </c>
      <c r="DF31" t="s">
        <v>26</v>
      </c>
      <c r="DG31" t="s">
        <v>26</v>
      </c>
      <c r="DI31" t="s">
        <v>26</v>
      </c>
      <c r="DJ31" t="s">
        <v>26</v>
      </c>
      <c r="DN31">
        <v>112</v>
      </c>
      <c r="DO31">
        <v>70</v>
      </c>
      <c r="DP31">
        <v>1.047</v>
      </c>
      <c r="DQ31">
        <v>1</v>
      </c>
      <c r="DR31">
        <v>4.56</v>
      </c>
      <c r="DS31">
        <v>13.09</v>
      </c>
      <c r="DT31">
        <v>13.09</v>
      </c>
      <c r="DU31">
        <v>1010</v>
      </c>
      <c r="DV31" t="s">
        <v>22</v>
      </c>
      <c r="DW31" t="s">
        <v>22</v>
      </c>
      <c r="DX31">
        <v>1</v>
      </c>
      <c r="EE31">
        <v>18683890</v>
      </c>
      <c r="EF31">
        <v>40</v>
      </c>
      <c r="EG31" t="s">
        <v>27</v>
      </c>
      <c r="EH31">
        <v>0</v>
      </c>
      <c r="EJ31">
        <v>2</v>
      </c>
      <c r="EK31">
        <v>336</v>
      </c>
      <c r="EL31" t="s">
        <v>51</v>
      </c>
      <c r="EM31" t="s">
        <v>52</v>
      </c>
      <c r="EO31" t="s">
        <v>30</v>
      </c>
      <c r="EQ31">
        <v>320</v>
      </c>
      <c r="ER31">
        <v>75.75</v>
      </c>
      <c r="ES31">
        <v>6.09</v>
      </c>
      <c r="ET31">
        <v>0</v>
      </c>
      <c r="EU31">
        <v>0</v>
      </c>
      <c r="EV31">
        <v>69.66</v>
      </c>
      <c r="EW31">
        <v>6</v>
      </c>
      <c r="EX31">
        <v>0</v>
      </c>
      <c r="EY31">
        <v>0</v>
      </c>
      <c r="EZ31">
        <v>0</v>
      </c>
      <c r="FQ31">
        <v>0</v>
      </c>
      <c r="FR31">
        <f>ROUND(IF(AND(AA31=0,BI31=3),P31,0),2)</f>
        <v>0</v>
      </c>
      <c r="FS31">
        <v>0</v>
      </c>
      <c r="FX31">
        <v>96</v>
      </c>
      <c r="FY31">
        <v>42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0</v>
      </c>
    </row>
    <row r="33" spans="1:43" ht="12.75">
      <c r="A33" s="2">
        <v>51</v>
      </c>
      <c r="B33" s="2">
        <f>B24</f>
        <v>1</v>
      </c>
      <c r="C33" s="2">
        <f>A24</f>
        <v>4</v>
      </c>
      <c r="D33" s="2">
        <f>ROW(A24)</f>
        <v>24</v>
      </c>
      <c r="E33" s="2"/>
      <c r="F33" s="2" t="str">
        <f>IF(F24&lt;&gt;"",F24,"")</f>
        <v>Новый раздел</v>
      </c>
      <c r="G33" s="2" t="str">
        <f>IF(G24&lt;&gt;"",G24,"")</f>
        <v>Демонтажные работы</v>
      </c>
      <c r="H33" s="2"/>
      <c r="I33" s="2"/>
      <c r="J33" s="2"/>
      <c r="K33" s="2"/>
      <c r="L33" s="2"/>
      <c r="M33" s="2"/>
      <c r="N33" s="2"/>
      <c r="O33" s="2">
        <f aca="true" t="shared" si="5" ref="O33:Y33">ROUND(AB33,2)</f>
        <v>3357.1</v>
      </c>
      <c r="P33" s="2">
        <f t="shared" si="5"/>
        <v>0</v>
      </c>
      <c r="Q33" s="2">
        <f t="shared" si="5"/>
        <v>1011.13</v>
      </c>
      <c r="R33" s="2">
        <f t="shared" si="5"/>
        <v>558.1</v>
      </c>
      <c r="S33" s="2">
        <f t="shared" si="5"/>
        <v>2345.97</v>
      </c>
      <c r="T33" s="2">
        <f t="shared" si="5"/>
        <v>0</v>
      </c>
      <c r="U33" s="2">
        <f t="shared" si="5"/>
        <v>14.91</v>
      </c>
      <c r="V33" s="2">
        <f t="shared" si="5"/>
        <v>0</v>
      </c>
      <c r="W33" s="2">
        <f t="shared" si="5"/>
        <v>0</v>
      </c>
      <c r="X33" s="2">
        <f t="shared" si="5"/>
        <v>1973.36</v>
      </c>
      <c r="Y33" s="2">
        <f t="shared" si="5"/>
        <v>985.31</v>
      </c>
      <c r="Z33" s="2"/>
      <c r="AA33" s="2"/>
      <c r="AB33" s="2">
        <f>ROUND(SUMIF(AA28:AA31,"=0",O28:O31),2)</f>
        <v>3357.1</v>
      </c>
      <c r="AC33" s="2">
        <f>ROUND(SUMIF(AA28:AA31,"=0",P28:P31),2)</f>
        <v>0</v>
      </c>
      <c r="AD33" s="2">
        <f>ROUND(SUMIF(AA28:AA31,"=0",Q28:Q31),2)</f>
        <v>1011.13</v>
      </c>
      <c r="AE33" s="2">
        <f>ROUND(SUMIF(AA28:AA31,"=0",R28:R31),2)</f>
        <v>558.1</v>
      </c>
      <c r="AF33" s="2">
        <f>ROUND(SUMIF(AA28:AA31,"=0",S28:S31),2)</f>
        <v>2345.97</v>
      </c>
      <c r="AG33" s="2">
        <f>ROUND(SUMIF(AA28:AA31,"=0",T28:T31),2)</f>
        <v>0</v>
      </c>
      <c r="AH33" s="2">
        <f>ROUND(SUMIF(AA28:AA31,"=0",U28:U31),2)</f>
        <v>14.91</v>
      </c>
      <c r="AI33" s="2">
        <f>ROUND(SUMIF(AA28:AA31,"=0",V28:V31),2)</f>
        <v>0</v>
      </c>
      <c r="AJ33" s="2">
        <f>ROUND(SUMIF(AA28:AA31,"=0",W28:W31),2)</f>
        <v>0</v>
      </c>
      <c r="AK33" s="2">
        <f>ROUND(SUMIF(AA28:AA31,"=0",X28:X31),2)</f>
        <v>1973.36</v>
      </c>
      <c r="AL33" s="2">
        <f>ROUND(SUMIF(AA28:AA31,"=0",Y28:Y31),2)</f>
        <v>985.31</v>
      </c>
      <c r="AM33" s="2"/>
      <c r="AN33" s="2">
        <f>ROUND(AO33,2)</f>
        <v>0</v>
      </c>
      <c r="AO33" s="2">
        <f>ROUND(SUMIF(AA28:AA31,"=0",FQ28:FQ31),2)</f>
        <v>0</v>
      </c>
      <c r="AP33" s="2">
        <f>ROUND(AQ33,2)</f>
        <v>0</v>
      </c>
      <c r="AQ33" s="2">
        <f>ROUND(SUM(FR28:FR31),2)</f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201</v>
      </c>
      <c r="F35" s="3">
        <f>Source!O33</f>
        <v>3357.1</v>
      </c>
      <c r="G35" s="3" t="s">
        <v>53</v>
      </c>
      <c r="H35" s="3" t="s">
        <v>54</v>
      </c>
      <c r="I35" s="3"/>
      <c r="J35" s="3"/>
      <c r="K35" s="3">
        <v>201</v>
      </c>
      <c r="L35" s="3">
        <v>1</v>
      </c>
      <c r="M35" s="3">
        <v>3</v>
      </c>
      <c r="N35" s="3" t="s">
        <v>6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0</v>
      </c>
      <c r="G36" s="3" t="s">
        <v>55</v>
      </c>
      <c r="H36" s="3" t="s">
        <v>56</v>
      </c>
      <c r="I36" s="3"/>
      <c r="J36" s="3"/>
      <c r="K36" s="3">
        <v>202</v>
      </c>
      <c r="L36" s="3">
        <v>2</v>
      </c>
      <c r="M36" s="3">
        <v>3</v>
      </c>
      <c r="N36" s="3" t="s">
        <v>6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222</v>
      </c>
      <c r="F37" s="3">
        <f>Source!AN33</f>
        <v>0</v>
      </c>
      <c r="G37" s="3" t="s">
        <v>57</v>
      </c>
      <c r="H37" s="3" t="s">
        <v>58</v>
      </c>
      <c r="I37" s="3"/>
      <c r="J37" s="3"/>
      <c r="K37" s="3">
        <v>222</v>
      </c>
      <c r="L37" s="3">
        <v>3</v>
      </c>
      <c r="M37" s="3">
        <v>3</v>
      </c>
      <c r="N37" s="3" t="s">
        <v>6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216</v>
      </c>
      <c r="F38" s="3">
        <f>Source!AP33</f>
        <v>0</v>
      </c>
      <c r="G38" s="3" t="s">
        <v>59</v>
      </c>
      <c r="H38" s="3" t="s">
        <v>60</v>
      </c>
      <c r="I38" s="3"/>
      <c r="J38" s="3"/>
      <c r="K38" s="3">
        <v>216</v>
      </c>
      <c r="L38" s="3">
        <v>4</v>
      </c>
      <c r="M38" s="3">
        <v>3</v>
      </c>
      <c r="N38" s="3" t="s">
        <v>6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203</v>
      </c>
      <c r="F39" s="3">
        <f>Source!Q33</f>
        <v>1011.13</v>
      </c>
      <c r="G39" s="3" t="s">
        <v>61</v>
      </c>
      <c r="H39" s="3" t="s">
        <v>62</v>
      </c>
      <c r="I39" s="3"/>
      <c r="J39" s="3"/>
      <c r="K39" s="3">
        <v>203</v>
      </c>
      <c r="L39" s="3">
        <v>6</v>
      </c>
      <c r="M39" s="3">
        <v>3</v>
      </c>
      <c r="N39" s="3" t="s">
        <v>6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204</v>
      </c>
      <c r="F40" s="3">
        <f>Source!R33</f>
        <v>558.1</v>
      </c>
      <c r="G40" s="3" t="s">
        <v>63</v>
      </c>
      <c r="H40" s="3" t="s">
        <v>64</v>
      </c>
      <c r="I40" s="3"/>
      <c r="J40" s="3"/>
      <c r="K40" s="3">
        <v>204</v>
      </c>
      <c r="L40" s="3">
        <v>7</v>
      </c>
      <c r="M40" s="3">
        <v>3</v>
      </c>
      <c r="N40" s="3" t="s">
        <v>6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205</v>
      </c>
      <c r="F41" s="3">
        <f>Source!S33</f>
        <v>2345.97</v>
      </c>
      <c r="G41" s="3" t="s">
        <v>65</v>
      </c>
      <c r="H41" s="3" t="s">
        <v>66</v>
      </c>
      <c r="I41" s="3"/>
      <c r="J41" s="3"/>
      <c r="K41" s="3">
        <v>205</v>
      </c>
      <c r="L41" s="3">
        <v>8</v>
      </c>
      <c r="M41" s="3">
        <v>3</v>
      </c>
      <c r="N41" s="3" t="s">
        <v>6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Source!T33</f>
        <v>0</v>
      </c>
      <c r="G42" s="3" t="s">
        <v>67</v>
      </c>
      <c r="H42" s="3" t="s">
        <v>68</v>
      </c>
      <c r="I42" s="3"/>
      <c r="J42" s="3"/>
      <c r="K42" s="3">
        <v>206</v>
      </c>
      <c r="L42" s="3">
        <v>12</v>
      </c>
      <c r="M42" s="3">
        <v>3</v>
      </c>
      <c r="N42" s="3" t="s">
        <v>6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Source!U33</f>
        <v>14.91</v>
      </c>
      <c r="G43" s="3" t="s">
        <v>69</v>
      </c>
      <c r="H43" s="3" t="s">
        <v>70</v>
      </c>
      <c r="I43" s="3"/>
      <c r="J43" s="3"/>
      <c r="K43" s="3">
        <v>207</v>
      </c>
      <c r="L43" s="3">
        <v>13</v>
      </c>
      <c r="M43" s="3">
        <v>3</v>
      </c>
      <c r="N43" s="3" t="s">
        <v>6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Source!V33</f>
        <v>0</v>
      </c>
      <c r="G44" s="3" t="s">
        <v>71</v>
      </c>
      <c r="H44" s="3" t="s">
        <v>72</v>
      </c>
      <c r="I44" s="3"/>
      <c r="J44" s="3"/>
      <c r="K44" s="3">
        <v>208</v>
      </c>
      <c r="L44" s="3">
        <v>14</v>
      </c>
      <c r="M44" s="3">
        <v>3</v>
      </c>
      <c r="N44" s="3" t="s">
        <v>6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Source!W33</f>
        <v>0</v>
      </c>
      <c r="G45" s="3" t="s">
        <v>73</v>
      </c>
      <c r="H45" s="3" t="s">
        <v>74</v>
      </c>
      <c r="I45" s="3"/>
      <c r="J45" s="3"/>
      <c r="K45" s="3">
        <v>209</v>
      </c>
      <c r="L45" s="3">
        <v>15</v>
      </c>
      <c r="M45" s="3">
        <v>3</v>
      </c>
      <c r="N45" s="3" t="s">
        <v>6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210</v>
      </c>
      <c r="F46" s="3">
        <f>Source!X33</f>
        <v>1973.36</v>
      </c>
      <c r="G46" s="3" t="s">
        <v>75</v>
      </c>
      <c r="H46" s="3" t="s">
        <v>76</v>
      </c>
      <c r="I46" s="3"/>
      <c r="J46" s="3"/>
      <c r="K46" s="3">
        <v>210</v>
      </c>
      <c r="L46" s="3">
        <v>16</v>
      </c>
      <c r="M46" s="3">
        <v>3</v>
      </c>
      <c r="N46" s="3" t="s">
        <v>6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211</v>
      </c>
      <c r="F47" s="3">
        <f>Source!Y33</f>
        <v>985.31</v>
      </c>
      <c r="G47" s="3" t="s">
        <v>77</v>
      </c>
      <c r="H47" s="3" t="s">
        <v>78</v>
      </c>
      <c r="I47" s="3"/>
      <c r="J47" s="3"/>
      <c r="K47" s="3">
        <v>211</v>
      </c>
      <c r="L47" s="3">
        <v>17</v>
      </c>
      <c r="M47" s="3">
        <v>3</v>
      </c>
      <c r="N47" s="3" t="s">
        <v>6</v>
      </c>
    </row>
    <row r="48" ht="12.75">
      <c r="G48">
        <v>0</v>
      </c>
    </row>
    <row r="49" spans="1:67" ht="12.75">
      <c r="A49" s="1">
        <v>4</v>
      </c>
      <c r="B49" s="1">
        <v>1</v>
      </c>
      <c r="C49" s="1"/>
      <c r="D49" s="1">
        <f>ROW(A78)</f>
        <v>78</v>
      </c>
      <c r="E49" s="1"/>
      <c r="F49" s="1" t="s">
        <v>16</v>
      </c>
      <c r="G49" s="1" t="s">
        <v>79</v>
      </c>
      <c r="H49" s="1"/>
      <c r="I49" s="1"/>
      <c r="J49" s="1"/>
      <c r="K49" s="1"/>
      <c r="L49" s="1"/>
      <c r="M49" s="1"/>
      <c r="N49" s="1" t="s">
        <v>6</v>
      </c>
      <c r="O49" s="1"/>
      <c r="P49" s="1"/>
      <c r="Q49" s="1"/>
      <c r="R49" s="1" t="s">
        <v>6</v>
      </c>
      <c r="S49" s="1" t="s">
        <v>6</v>
      </c>
      <c r="T49" s="1" t="s">
        <v>6</v>
      </c>
      <c r="U49" s="1" t="s">
        <v>6</v>
      </c>
      <c r="V49" s="1"/>
      <c r="W49" s="1"/>
      <c r="X49" s="1"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>
        <v>0</v>
      </c>
      <c r="AM49" s="1"/>
      <c r="AN49" s="1"/>
      <c r="AO49" s="1" t="s">
        <v>6</v>
      </c>
      <c r="AP49" s="1" t="s">
        <v>6</v>
      </c>
      <c r="AQ49" s="1" t="s">
        <v>6</v>
      </c>
      <c r="AR49" s="1"/>
      <c r="AS49" s="1"/>
      <c r="AT49" s="1" t="s">
        <v>6</v>
      </c>
      <c r="AU49" s="1" t="s">
        <v>6</v>
      </c>
      <c r="AV49" s="1" t="s">
        <v>6</v>
      </c>
      <c r="AW49" s="1" t="s">
        <v>6</v>
      </c>
      <c r="AX49" s="1" t="s">
        <v>6</v>
      </c>
      <c r="AY49" s="1" t="s">
        <v>6</v>
      </c>
      <c r="AZ49" s="1" t="s">
        <v>6</v>
      </c>
      <c r="BA49" s="1" t="s">
        <v>6</v>
      </c>
      <c r="BB49" s="1" t="s">
        <v>6</v>
      </c>
      <c r="BC49" s="1" t="s">
        <v>6</v>
      </c>
      <c r="BD49" s="1" t="s">
        <v>6</v>
      </c>
      <c r="BE49" s="1" t="s">
        <v>80</v>
      </c>
      <c r="BF49" s="1">
        <v>0</v>
      </c>
      <c r="BG49" s="1">
        <v>0</v>
      </c>
      <c r="BH49" s="1" t="s">
        <v>6</v>
      </c>
      <c r="BI49" s="1" t="s">
        <v>6</v>
      </c>
      <c r="BJ49" s="1" t="s">
        <v>6</v>
      </c>
      <c r="BK49" s="1" t="s">
        <v>6</v>
      </c>
      <c r="BL49" s="1" t="s">
        <v>6</v>
      </c>
      <c r="BM49" s="1">
        <v>0</v>
      </c>
      <c r="BN49" s="1" t="s">
        <v>6</v>
      </c>
      <c r="BO49" s="1">
        <v>0</v>
      </c>
    </row>
    <row r="51" spans="1:43" ht="12.75">
      <c r="A51" s="2">
        <v>52</v>
      </c>
      <c r="B51" s="2">
        <f aca="true" t="shared" si="6" ref="B51:AQ51">B78</f>
        <v>1</v>
      </c>
      <c r="C51" s="2">
        <f t="shared" si="6"/>
        <v>4</v>
      </c>
      <c r="D51" s="2">
        <f t="shared" si="6"/>
        <v>49</v>
      </c>
      <c r="E51" s="2">
        <f t="shared" si="6"/>
        <v>0</v>
      </c>
      <c r="F51" s="2" t="str">
        <f t="shared" si="6"/>
        <v>Новый раздел</v>
      </c>
      <c r="G51" s="2" t="str">
        <f t="shared" si="6"/>
        <v>Монтажные работы</v>
      </c>
      <c r="H51" s="2">
        <f t="shared" si="6"/>
        <v>0</v>
      </c>
      <c r="I51" s="2">
        <f t="shared" si="6"/>
        <v>0</v>
      </c>
      <c r="J51" s="2">
        <f t="shared" si="6"/>
        <v>0</v>
      </c>
      <c r="K51" s="2">
        <f t="shared" si="6"/>
        <v>0</v>
      </c>
      <c r="L51" s="2">
        <f t="shared" si="6"/>
        <v>0</v>
      </c>
      <c r="M51" s="2">
        <f t="shared" si="6"/>
        <v>0</v>
      </c>
      <c r="N51" s="2">
        <f t="shared" si="6"/>
        <v>0</v>
      </c>
      <c r="O51" s="2">
        <f t="shared" si="6"/>
        <v>50167.02</v>
      </c>
      <c r="P51" s="2">
        <f t="shared" si="6"/>
        <v>1528.87</v>
      </c>
      <c r="Q51" s="2">
        <f t="shared" si="6"/>
        <v>20542.65</v>
      </c>
      <c r="R51" s="2">
        <f t="shared" si="6"/>
        <v>8660.8</v>
      </c>
      <c r="S51" s="2">
        <f t="shared" si="6"/>
        <v>28095.5</v>
      </c>
      <c r="T51" s="2">
        <f t="shared" si="6"/>
        <v>0</v>
      </c>
      <c r="U51" s="2">
        <f t="shared" si="6"/>
        <v>159.34</v>
      </c>
      <c r="V51" s="2">
        <f t="shared" si="6"/>
        <v>0</v>
      </c>
      <c r="W51" s="2">
        <f t="shared" si="6"/>
        <v>0</v>
      </c>
      <c r="X51" s="2">
        <f t="shared" si="6"/>
        <v>27014.21</v>
      </c>
      <c r="Y51" s="2">
        <f t="shared" si="6"/>
        <v>11841.31</v>
      </c>
      <c r="Z51" s="2">
        <f t="shared" si="6"/>
        <v>0</v>
      </c>
      <c r="AA51" s="2">
        <f t="shared" si="6"/>
        <v>0</v>
      </c>
      <c r="AB51" s="2">
        <f t="shared" si="6"/>
        <v>50167.02</v>
      </c>
      <c r="AC51" s="2">
        <f t="shared" si="6"/>
        <v>1528.87</v>
      </c>
      <c r="AD51" s="2">
        <f t="shared" si="6"/>
        <v>20542.65</v>
      </c>
      <c r="AE51" s="2">
        <f t="shared" si="6"/>
        <v>8660.8</v>
      </c>
      <c r="AF51" s="2">
        <f t="shared" si="6"/>
        <v>28095.5</v>
      </c>
      <c r="AG51" s="2">
        <f t="shared" si="6"/>
        <v>0</v>
      </c>
      <c r="AH51" s="2">
        <f t="shared" si="6"/>
        <v>159.34</v>
      </c>
      <c r="AI51" s="2">
        <f t="shared" si="6"/>
        <v>0</v>
      </c>
      <c r="AJ51" s="2">
        <f t="shared" si="6"/>
        <v>0</v>
      </c>
      <c r="AK51" s="2">
        <f t="shared" si="6"/>
        <v>27014.21</v>
      </c>
      <c r="AL51" s="2">
        <f t="shared" si="6"/>
        <v>11841.31</v>
      </c>
      <c r="AM51" s="2">
        <f t="shared" si="6"/>
        <v>0</v>
      </c>
      <c r="AN51" s="2">
        <f t="shared" si="6"/>
        <v>0</v>
      </c>
      <c r="AO51" s="2">
        <f t="shared" si="6"/>
        <v>0</v>
      </c>
      <c r="AP51" s="2">
        <f t="shared" si="6"/>
        <v>0</v>
      </c>
      <c r="AQ51" s="2">
        <f t="shared" si="6"/>
        <v>0</v>
      </c>
    </row>
    <row r="53" spans="1:194" ht="12.75">
      <c r="A53">
        <v>17</v>
      </c>
      <c r="B53">
        <v>1</v>
      </c>
      <c r="E53" t="s">
        <v>81</v>
      </c>
      <c r="F53" t="s">
        <v>82</v>
      </c>
      <c r="G53" t="s">
        <v>83</v>
      </c>
      <c r="H53" t="s">
        <v>84</v>
      </c>
      <c r="I53">
        <v>0.055</v>
      </c>
      <c r="J53">
        <v>0</v>
      </c>
      <c r="O53">
        <f aca="true" t="shared" si="7" ref="O53:O76">ROUND(CP53,2)</f>
        <v>236.8</v>
      </c>
      <c r="P53">
        <f aca="true" t="shared" si="8" ref="P53:P76">ROUND(CQ53*I53,2)</f>
        <v>57.12</v>
      </c>
      <c r="Q53">
        <f aca="true" t="shared" si="9" ref="Q53:Q76">ROUND(CR53*I53,2)</f>
        <v>43.29</v>
      </c>
      <c r="R53">
        <f aca="true" t="shared" si="10" ref="R53:R76">ROUND(CS53*I53,2)</f>
        <v>8.58</v>
      </c>
      <c r="S53">
        <f aca="true" t="shared" si="11" ref="S53:S76">ROUND(CT53*I53,2)</f>
        <v>136.39</v>
      </c>
      <c r="T53">
        <f aca="true" t="shared" si="12" ref="T53:T76">ROUND(CU53*I53,2)</f>
        <v>0</v>
      </c>
      <c r="U53">
        <f aca="true" t="shared" si="13" ref="U53:U76">CV53*I53</f>
        <v>0.8450639999999999</v>
      </c>
      <c r="V53">
        <f aca="true" t="shared" si="14" ref="V53:V76">CW53*I53</f>
        <v>0</v>
      </c>
      <c r="W53">
        <f aca="true" t="shared" si="15" ref="W53:W76">ROUND(CX53*I53,2)</f>
        <v>0</v>
      </c>
      <c r="X53">
        <f aca="true" t="shared" si="16" ref="X53:X76">ROUND(CY53,2)</f>
        <v>130.93</v>
      </c>
      <c r="Y53">
        <f aca="true" t="shared" si="17" ref="Y53:Y76">ROUND(CZ53,2)</f>
        <v>57.28</v>
      </c>
      <c r="AA53">
        <v>0</v>
      </c>
      <c r="AB53">
        <f aca="true" t="shared" si="18" ref="AB53:AB76">(AC53+AD53+AF53)</f>
        <v>522.36</v>
      </c>
      <c r="AC53">
        <f aca="true" t="shared" si="19" ref="AC53:AC72">(ES53)</f>
        <v>210.7</v>
      </c>
      <c r="AD53">
        <f aca="true" t="shared" si="20" ref="AD53:AD62">(((ET53)-(EU53))+AE53)</f>
        <v>134.11</v>
      </c>
      <c r="AE53">
        <f aca="true" t="shared" si="21" ref="AE53:AE62">(EU53)</f>
        <v>11.17</v>
      </c>
      <c r="AF53">
        <f aca="true" t="shared" si="22" ref="AF53:AF62">(EV53)</f>
        <v>177.55</v>
      </c>
      <c r="AG53">
        <f aca="true" t="shared" si="23" ref="AG53:AG76">(AP53)</f>
        <v>0</v>
      </c>
      <c r="AH53">
        <f aca="true" t="shared" si="24" ref="AH53:AH62">(EW53)</f>
        <v>14.4</v>
      </c>
      <c r="AI53">
        <f aca="true" t="shared" si="25" ref="AI53:AI62">(EX53)</f>
        <v>0</v>
      </c>
      <c r="AJ53">
        <f aca="true" t="shared" si="26" ref="AJ53:AJ76">(AS53)</f>
        <v>0</v>
      </c>
      <c r="AK53">
        <v>522.36</v>
      </c>
      <c r="AL53">
        <v>210.7</v>
      </c>
      <c r="AM53">
        <v>134.11</v>
      </c>
      <c r="AN53">
        <v>11.17</v>
      </c>
      <c r="AO53">
        <v>177.55</v>
      </c>
      <c r="AP53">
        <v>0</v>
      </c>
      <c r="AQ53">
        <v>14.4</v>
      </c>
      <c r="AR53">
        <v>0</v>
      </c>
      <c r="AS53">
        <v>0</v>
      </c>
      <c r="AT53">
        <v>96</v>
      </c>
      <c r="AU53">
        <v>42</v>
      </c>
      <c r="AV53">
        <v>1.067</v>
      </c>
      <c r="AW53">
        <v>1.081</v>
      </c>
      <c r="AX53">
        <v>7.68416298734156</v>
      </c>
      <c r="AY53">
        <v>13.09</v>
      </c>
      <c r="AZ53">
        <v>13.09</v>
      </c>
      <c r="BA53">
        <v>13.09</v>
      </c>
      <c r="BB53">
        <v>5.5</v>
      </c>
      <c r="BC53">
        <v>4.56</v>
      </c>
      <c r="BH53">
        <v>0</v>
      </c>
      <c r="BI53">
        <v>2</v>
      </c>
      <c r="BJ53" t="s">
        <v>85</v>
      </c>
      <c r="BM53">
        <v>332</v>
      </c>
      <c r="BN53">
        <v>0</v>
      </c>
      <c r="BO53" t="s">
        <v>82</v>
      </c>
      <c r="BP53">
        <v>1</v>
      </c>
      <c r="BQ53">
        <v>40</v>
      </c>
      <c r="BR53">
        <v>0</v>
      </c>
      <c r="BS53">
        <v>13.09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96</v>
      </c>
      <c r="CA53">
        <v>42</v>
      </c>
      <c r="CF53">
        <v>0</v>
      </c>
      <c r="CG53">
        <v>0</v>
      </c>
      <c r="CM53">
        <v>0</v>
      </c>
      <c r="CO53">
        <v>0</v>
      </c>
      <c r="CP53">
        <f aca="true" t="shared" si="27" ref="CP53:CP76">(P53+Q53+S53)</f>
        <v>236.79999999999998</v>
      </c>
      <c r="CQ53">
        <f aca="true" t="shared" si="28" ref="CQ53:CQ76">((AC53*AW53))*BC53</f>
        <v>1038.6161519999998</v>
      </c>
      <c r="CR53">
        <f aca="true" t="shared" si="29" ref="CR53:CR76">((AD53*AV53))*BB53</f>
        <v>787.024535</v>
      </c>
      <c r="CS53">
        <f aca="true" t="shared" si="30" ref="CS53:CS76">((AE53*AV53))*BS53</f>
        <v>156.01172509999998</v>
      </c>
      <c r="CT53">
        <f aca="true" t="shared" si="31" ref="CT53:CT76">((AF53*AV53))*BA53</f>
        <v>2479.8461765</v>
      </c>
      <c r="CU53">
        <f aca="true" t="shared" si="32" ref="CU53:CU76">(AG53)*BT53</f>
        <v>0</v>
      </c>
      <c r="CV53">
        <f aca="true" t="shared" si="33" ref="CV53:CV76">((AH53*AV53))*BU53</f>
        <v>15.364799999999999</v>
      </c>
      <c r="CW53">
        <f aca="true" t="shared" si="34" ref="CW53:CW76">(AI53)*BV53</f>
        <v>0</v>
      </c>
      <c r="CX53">
        <f aca="true" t="shared" si="35" ref="CX53:CX76">(AJ53)*BW53</f>
        <v>0</v>
      </c>
      <c r="CY53">
        <f aca="true" t="shared" si="36" ref="CY53:CY76">S53*(BZ53/100)</f>
        <v>130.93439999999998</v>
      </c>
      <c r="CZ53">
        <f aca="true" t="shared" si="37" ref="CZ53:CZ76">S53*(CA53/100)</f>
        <v>57.28379999999999</v>
      </c>
      <c r="DN53">
        <v>112</v>
      </c>
      <c r="DO53">
        <v>70</v>
      </c>
      <c r="DP53">
        <v>1.067</v>
      </c>
      <c r="DQ53">
        <v>1.081</v>
      </c>
      <c r="DR53">
        <v>4.56</v>
      </c>
      <c r="DS53">
        <v>7.68416298734156</v>
      </c>
      <c r="DT53">
        <v>13.09</v>
      </c>
      <c r="DU53">
        <v>1003</v>
      </c>
      <c r="DV53" t="s">
        <v>84</v>
      </c>
      <c r="DW53" t="s">
        <v>84</v>
      </c>
      <c r="DX53">
        <v>100</v>
      </c>
      <c r="EE53">
        <v>18683886</v>
      </c>
      <c r="EF53">
        <v>40</v>
      </c>
      <c r="EG53" t="s">
        <v>27</v>
      </c>
      <c r="EH53">
        <v>0</v>
      </c>
      <c r="EJ53">
        <v>2</v>
      </c>
      <c r="EK53">
        <v>332</v>
      </c>
      <c r="EL53" t="s">
        <v>86</v>
      </c>
      <c r="EM53" t="s">
        <v>87</v>
      </c>
      <c r="EQ53">
        <v>0</v>
      </c>
      <c r="ER53">
        <v>522.36</v>
      </c>
      <c r="ES53">
        <v>210.7</v>
      </c>
      <c r="ET53">
        <v>134.11</v>
      </c>
      <c r="EU53">
        <v>11.17</v>
      </c>
      <c r="EV53">
        <v>177.55</v>
      </c>
      <c r="EW53">
        <v>14.4</v>
      </c>
      <c r="EX53">
        <v>0</v>
      </c>
      <c r="EY53">
        <v>0</v>
      </c>
      <c r="EZ53">
        <v>0</v>
      </c>
      <c r="FQ53">
        <v>0</v>
      </c>
      <c r="FR53">
        <f aca="true" t="shared" si="38" ref="FR53:FR76">ROUND(IF(AND(AA53=0,BI53=3),P53,0),2)</f>
        <v>0</v>
      </c>
      <c r="FS53">
        <v>0</v>
      </c>
      <c r="FX53">
        <v>96</v>
      </c>
      <c r="FY53">
        <v>42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</row>
    <row r="54" spans="1:194" ht="12.75">
      <c r="A54">
        <v>17</v>
      </c>
      <c r="B54">
        <v>1</v>
      </c>
      <c r="E54" t="s">
        <v>88</v>
      </c>
      <c r="F54" t="s">
        <v>89</v>
      </c>
      <c r="G54" t="s">
        <v>90</v>
      </c>
      <c r="H54" t="s">
        <v>91</v>
      </c>
      <c r="I54">
        <v>0.3</v>
      </c>
      <c r="J54">
        <v>0</v>
      </c>
      <c r="O54">
        <f t="shared" si="7"/>
        <v>850.72</v>
      </c>
      <c r="P54">
        <f t="shared" si="8"/>
        <v>228.77</v>
      </c>
      <c r="Q54">
        <f t="shared" si="9"/>
        <v>143.02</v>
      </c>
      <c r="R54">
        <f t="shared" si="10"/>
        <v>30.96</v>
      </c>
      <c r="S54">
        <f t="shared" si="11"/>
        <v>478.93</v>
      </c>
      <c r="T54">
        <f t="shared" si="12"/>
        <v>0</v>
      </c>
      <c r="U54">
        <f t="shared" si="13"/>
        <v>2.9673269999999996</v>
      </c>
      <c r="V54">
        <f t="shared" si="14"/>
        <v>0</v>
      </c>
      <c r="W54">
        <f t="shared" si="15"/>
        <v>0</v>
      </c>
      <c r="X54">
        <f t="shared" si="16"/>
        <v>459.77</v>
      </c>
      <c r="Y54">
        <f t="shared" si="17"/>
        <v>201.15</v>
      </c>
      <c r="AA54">
        <v>0</v>
      </c>
      <c r="AB54">
        <f t="shared" si="18"/>
        <v>348.93</v>
      </c>
      <c r="AC54">
        <f t="shared" si="19"/>
        <v>154.7</v>
      </c>
      <c r="AD54">
        <f t="shared" si="20"/>
        <v>79.93</v>
      </c>
      <c r="AE54">
        <f t="shared" si="21"/>
        <v>7.39</v>
      </c>
      <c r="AF54">
        <f t="shared" si="22"/>
        <v>114.3</v>
      </c>
      <c r="AG54">
        <f t="shared" si="23"/>
        <v>0</v>
      </c>
      <c r="AH54">
        <f t="shared" si="24"/>
        <v>9.27</v>
      </c>
      <c r="AI54">
        <f t="shared" si="25"/>
        <v>0</v>
      </c>
      <c r="AJ54">
        <f t="shared" si="26"/>
        <v>0</v>
      </c>
      <c r="AK54">
        <v>348.93</v>
      </c>
      <c r="AL54">
        <v>154.7</v>
      </c>
      <c r="AM54">
        <v>79.93</v>
      </c>
      <c r="AN54">
        <v>7.39</v>
      </c>
      <c r="AO54">
        <v>114.3</v>
      </c>
      <c r="AP54">
        <v>0</v>
      </c>
      <c r="AQ54">
        <v>9.27</v>
      </c>
      <c r="AR54">
        <v>0</v>
      </c>
      <c r="AS54">
        <v>0</v>
      </c>
      <c r="AT54">
        <v>96</v>
      </c>
      <c r="AU54">
        <v>42</v>
      </c>
      <c r="AV54">
        <v>1.067</v>
      </c>
      <c r="AW54">
        <v>1.081</v>
      </c>
      <c r="AX54">
        <v>7.5726377426623666</v>
      </c>
      <c r="AY54">
        <v>13.09</v>
      </c>
      <c r="AZ54">
        <v>13.09</v>
      </c>
      <c r="BA54">
        <v>13.09</v>
      </c>
      <c r="BB54">
        <v>5.59</v>
      </c>
      <c r="BC54">
        <v>4.56</v>
      </c>
      <c r="BH54">
        <v>0</v>
      </c>
      <c r="BI54">
        <v>2</v>
      </c>
      <c r="BJ54" t="s">
        <v>92</v>
      </c>
      <c r="BM54">
        <v>332</v>
      </c>
      <c r="BN54">
        <v>0</v>
      </c>
      <c r="BO54" t="s">
        <v>89</v>
      </c>
      <c r="BP54">
        <v>1</v>
      </c>
      <c r="BQ54">
        <v>40</v>
      </c>
      <c r="BR54">
        <v>0</v>
      </c>
      <c r="BS54">
        <v>13.09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96</v>
      </c>
      <c r="CA54">
        <v>42</v>
      </c>
      <c r="CF54">
        <v>0</v>
      </c>
      <c r="CG54">
        <v>0</v>
      </c>
      <c r="CM54">
        <v>0</v>
      </c>
      <c r="CO54">
        <v>0</v>
      </c>
      <c r="CP54">
        <f t="shared" si="27"/>
        <v>850.72</v>
      </c>
      <c r="CQ54">
        <f t="shared" si="28"/>
        <v>762.5719919999999</v>
      </c>
      <c r="CR54">
        <f t="shared" si="29"/>
        <v>476.74488290000005</v>
      </c>
      <c r="CS54">
        <f t="shared" si="30"/>
        <v>103.21635169999999</v>
      </c>
      <c r="CT54">
        <f t="shared" si="31"/>
        <v>1596.4315289999997</v>
      </c>
      <c r="CU54">
        <f t="shared" si="32"/>
        <v>0</v>
      </c>
      <c r="CV54">
        <f t="shared" si="33"/>
        <v>9.891089999999998</v>
      </c>
      <c r="CW54">
        <f t="shared" si="34"/>
        <v>0</v>
      </c>
      <c r="CX54">
        <f t="shared" si="35"/>
        <v>0</v>
      </c>
      <c r="CY54">
        <f t="shared" si="36"/>
        <v>459.7728</v>
      </c>
      <c r="CZ54">
        <f t="shared" si="37"/>
        <v>201.1506</v>
      </c>
      <c r="DN54">
        <v>112</v>
      </c>
      <c r="DO54">
        <v>70</v>
      </c>
      <c r="DP54">
        <v>1.067</v>
      </c>
      <c r="DQ54">
        <v>1.081</v>
      </c>
      <c r="DR54">
        <v>4.56</v>
      </c>
      <c r="DS54">
        <v>7.5726377426623666</v>
      </c>
      <c r="DT54">
        <v>13.09</v>
      </c>
      <c r="DU54">
        <v>1010</v>
      </c>
      <c r="DV54" t="s">
        <v>91</v>
      </c>
      <c r="DW54" t="s">
        <v>91</v>
      </c>
      <c r="DX54">
        <v>10</v>
      </c>
      <c r="EE54">
        <v>18683886</v>
      </c>
      <c r="EF54">
        <v>40</v>
      </c>
      <c r="EG54" t="s">
        <v>27</v>
      </c>
      <c r="EH54">
        <v>0</v>
      </c>
      <c r="EJ54">
        <v>2</v>
      </c>
      <c r="EK54">
        <v>332</v>
      </c>
      <c r="EL54" t="s">
        <v>86</v>
      </c>
      <c r="EM54" t="s">
        <v>87</v>
      </c>
      <c r="EQ54">
        <v>0</v>
      </c>
      <c r="ER54">
        <v>348.93</v>
      </c>
      <c r="ES54">
        <v>154.7</v>
      </c>
      <c r="ET54">
        <v>79.93</v>
      </c>
      <c r="EU54">
        <v>7.39</v>
      </c>
      <c r="EV54">
        <v>114.3</v>
      </c>
      <c r="EW54">
        <v>9.27</v>
      </c>
      <c r="EX54">
        <v>0</v>
      </c>
      <c r="EY54">
        <v>0</v>
      </c>
      <c r="EZ54">
        <v>0</v>
      </c>
      <c r="FQ54">
        <v>0</v>
      </c>
      <c r="FR54">
        <f t="shared" si="38"/>
        <v>0</v>
      </c>
      <c r="FS54">
        <v>0</v>
      </c>
      <c r="FX54">
        <v>96</v>
      </c>
      <c r="FY54">
        <v>42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</row>
    <row r="55" spans="1:194" ht="12.75">
      <c r="A55">
        <v>17</v>
      </c>
      <c r="B55">
        <v>1</v>
      </c>
      <c r="E55" t="s">
        <v>93</v>
      </c>
      <c r="F55" t="s">
        <v>94</v>
      </c>
      <c r="G55" t="s">
        <v>95</v>
      </c>
      <c r="H55" t="s">
        <v>22</v>
      </c>
      <c r="I55">
        <v>4</v>
      </c>
      <c r="J55">
        <v>0</v>
      </c>
      <c r="O55">
        <f t="shared" si="7"/>
        <v>5527.73</v>
      </c>
      <c r="P55">
        <f t="shared" si="8"/>
        <v>104.33</v>
      </c>
      <c r="Q55">
        <f t="shared" si="9"/>
        <v>3281.68</v>
      </c>
      <c r="R55">
        <f t="shared" si="10"/>
        <v>1700.63</v>
      </c>
      <c r="S55">
        <f t="shared" si="11"/>
        <v>2141.72</v>
      </c>
      <c r="T55">
        <f t="shared" si="12"/>
        <v>0</v>
      </c>
      <c r="U55">
        <f t="shared" si="13"/>
        <v>12.783119999999998</v>
      </c>
      <c r="V55">
        <f t="shared" si="14"/>
        <v>0</v>
      </c>
      <c r="W55">
        <f t="shared" si="15"/>
        <v>0</v>
      </c>
      <c r="X55">
        <f t="shared" si="16"/>
        <v>2056.05</v>
      </c>
      <c r="Y55">
        <f t="shared" si="17"/>
        <v>899.52</v>
      </c>
      <c r="AA55">
        <v>0</v>
      </c>
      <c r="AB55">
        <f t="shared" si="18"/>
        <v>194</v>
      </c>
      <c r="AC55">
        <f t="shared" si="19"/>
        <v>5.72</v>
      </c>
      <c r="AD55">
        <f t="shared" si="20"/>
        <v>150.65</v>
      </c>
      <c r="AE55">
        <f t="shared" si="21"/>
        <v>29.88</v>
      </c>
      <c r="AF55">
        <f t="shared" si="22"/>
        <v>37.63</v>
      </c>
      <c r="AG55">
        <f t="shared" si="23"/>
        <v>0</v>
      </c>
      <c r="AH55">
        <f t="shared" si="24"/>
        <v>2.94</v>
      </c>
      <c r="AI55">
        <f t="shared" si="25"/>
        <v>0</v>
      </c>
      <c r="AJ55">
        <f t="shared" si="26"/>
        <v>0</v>
      </c>
      <c r="AK55">
        <v>194</v>
      </c>
      <c r="AL55">
        <v>5.72</v>
      </c>
      <c r="AM55">
        <v>150.65</v>
      </c>
      <c r="AN55">
        <v>29.88</v>
      </c>
      <c r="AO55">
        <v>37.63</v>
      </c>
      <c r="AP55">
        <v>0</v>
      </c>
      <c r="AQ55">
        <v>2.94</v>
      </c>
      <c r="AR55">
        <v>0</v>
      </c>
      <c r="AS55">
        <v>0</v>
      </c>
      <c r="AT55">
        <v>96</v>
      </c>
      <c r="AU55">
        <v>42</v>
      </c>
      <c r="AV55">
        <v>1.087</v>
      </c>
      <c r="AW55">
        <v>1</v>
      </c>
      <c r="AX55">
        <v>6.5687370188470515</v>
      </c>
      <c r="AY55">
        <v>13.09</v>
      </c>
      <c r="AZ55">
        <v>13.09</v>
      </c>
      <c r="BA55">
        <v>13.09</v>
      </c>
      <c r="BB55">
        <v>5.01</v>
      </c>
      <c r="BC55">
        <v>4.56</v>
      </c>
      <c r="BH55">
        <v>0</v>
      </c>
      <c r="BI55">
        <v>2</v>
      </c>
      <c r="BJ55" t="s">
        <v>96</v>
      </c>
      <c r="BM55">
        <v>329</v>
      </c>
      <c r="BN55">
        <v>0</v>
      </c>
      <c r="BO55" t="s">
        <v>94</v>
      </c>
      <c r="BP55">
        <v>1</v>
      </c>
      <c r="BQ55">
        <v>40</v>
      </c>
      <c r="BR55">
        <v>0</v>
      </c>
      <c r="BS55">
        <v>13.09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96</v>
      </c>
      <c r="CA55">
        <v>42</v>
      </c>
      <c r="CF55">
        <v>0</v>
      </c>
      <c r="CG55">
        <v>0</v>
      </c>
      <c r="CM55">
        <v>0</v>
      </c>
      <c r="CO55">
        <v>0</v>
      </c>
      <c r="CP55">
        <f t="shared" si="27"/>
        <v>5527.73</v>
      </c>
      <c r="CQ55">
        <f t="shared" si="28"/>
        <v>26.083199999999998</v>
      </c>
      <c r="CR55">
        <f t="shared" si="29"/>
        <v>820.4203155</v>
      </c>
      <c r="CS55">
        <f t="shared" si="30"/>
        <v>425.1574404</v>
      </c>
      <c r="CT55">
        <f t="shared" si="31"/>
        <v>535.4308728999999</v>
      </c>
      <c r="CU55">
        <f t="shared" si="32"/>
        <v>0</v>
      </c>
      <c r="CV55">
        <f t="shared" si="33"/>
        <v>3.1957799999999996</v>
      </c>
      <c r="CW55">
        <f t="shared" si="34"/>
        <v>0</v>
      </c>
      <c r="CX55">
        <f t="shared" si="35"/>
        <v>0</v>
      </c>
      <c r="CY55">
        <f t="shared" si="36"/>
        <v>2056.0512</v>
      </c>
      <c r="CZ55">
        <f t="shared" si="37"/>
        <v>899.5223999999998</v>
      </c>
      <c r="DN55">
        <v>112</v>
      </c>
      <c r="DO55">
        <v>70</v>
      </c>
      <c r="DP55">
        <v>1.087</v>
      </c>
      <c r="DQ55">
        <v>1</v>
      </c>
      <c r="DR55">
        <v>4.56</v>
      </c>
      <c r="DS55">
        <v>6.5687370188470515</v>
      </c>
      <c r="DT55">
        <v>13.09</v>
      </c>
      <c r="DU55">
        <v>1010</v>
      </c>
      <c r="DV55" t="s">
        <v>22</v>
      </c>
      <c r="DW55" t="s">
        <v>22</v>
      </c>
      <c r="DX55">
        <v>1</v>
      </c>
      <c r="EE55">
        <v>18683883</v>
      </c>
      <c r="EF55">
        <v>40</v>
      </c>
      <c r="EG55" t="s">
        <v>27</v>
      </c>
      <c r="EH55">
        <v>0</v>
      </c>
      <c r="EJ55">
        <v>2</v>
      </c>
      <c r="EK55">
        <v>329</v>
      </c>
      <c r="EL55" t="s">
        <v>97</v>
      </c>
      <c r="EM55" t="s">
        <v>98</v>
      </c>
      <c r="EQ55">
        <v>0</v>
      </c>
      <c r="ER55">
        <v>194</v>
      </c>
      <c r="ES55">
        <v>5.72</v>
      </c>
      <c r="ET55">
        <v>150.65</v>
      </c>
      <c r="EU55">
        <v>29.88</v>
      </c>
      <c r="EV55">
        <v>37.63</v>
      </c>
      <c r="EW55">
        <v>2.94</v>
      </c>
      <c r="EX55">
        <v>0</v>
      </c>
      <c r="EY55">
        <v>0</v>
      </c>
      <c r="EZ55">
        <v>0</v>
      </c>
      <c r="FQ55">
        <v>0</v>
      </c>
      <c r="FR55">
        <f t="shared" si="38"/>
        <v>0</v>
      </c>
      <c r="FS55">
        <v>0</v>
      </c>
      <c r="FX55">
        <v>96</v>
      </c>
      <c r="FY55">
        <v>42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</row>
    <row r="56" spans="1:194" ht="12.75">
      <c r="A56">
        <v>17</v>
      </c>
      <c r="B56">
        <v>1</v>
      </c>
      <c r="E56" t="s">
        <v>99</v>
      </c>
      <c r="F56" t="s">
        <v>20</v>
      </c>
      <c r="G56" t="s">
        <v>100</v>
      </c>
      <c r="H56" t="s">
        <v>22</v>
      </c>
      <c r="I56">
        <v>4</v>
      </c>
      <c r="J56">
        <v>0</v>
      </c>
      <c r="O56">
        <f t="shared" si="7"/>
        <v>2067.76</v>
      </c>
      <c r="P56">
        <f t="shared" si="8"/>
        <v>315.37</v>
      </c>
      <c r="Q56">
        <f t="shared" si="9"/>
        <v>346.23</v>
      </c>
      <c r="R56">
        <f t="shared" si="10"/>
        <v>57.01</v>
      </c>
      <c r="S56">
        <f t="shared" si="11"/>
        <v>1406.16</v>
      </c>
      <c r="T56">
        <f t="shared" si="12"/>
        <v>0</v>
      </c>
      <c r="U56">
        <f t="shared" si="13"/>
        <v>8.71104</v>
      </c>
      <c r="V56">
        <f t="shared" si="14"/>
        <v>0</v>
      </c>
      <c r="W56">
        <f t="shared" si="15"/>
        <v>0</v>
      </c>
      <c r="X56">
        <f t="shared" si="16"/>
        <v>1349.91</v>
      </c>
      <c r="Y56">
        <f t="shared" si="17"/>
        <v>590.59</v>
      </c>
      <c r="AA56">
        <v>0</v>
      </c>
      <c r="AB56">
        <f t="shared" si="18"/>
        <v>58.9</v>
      </c>
      <c r="AC56">
        <f t="shared" si="19"/>
        <v>17.29</v>
      </c>
      <c r="AD56">
        <f t="shared" si="20"/>
        <v>15.96</v>
      </c>
      <c r="AE56">
        <f t="shared" si="21"/>
        <v>1.04</v>
      </c>
      <c r="AF56">
        <f t="shared" si="22"/>
        <v>25.65</v>
      </c>
      <c r="AG56">
        <f t="shared" si="23"/>
        <v>0</v>
      </c>
      <c r="AH56">
        <f t="shared" si="24"/>
        <v>2.08</v>
      </c>
      <c r="AI56">
        <f t="shared" si="25"/>
        <v>0</v>
      </c>
      <c r="AJ56">
        <f t="shared" si="26"/>
        <v>0</v>
      </c>
      <c r="AK56">
        <v>58.9</v>
      </c>
      <c r="AL56">
        <v>17.29</v>
      </c>
      <c r="AM56">
        <v>15.96</v>
      </c>
      <c r="AN56">
        <v>1.04</v>
      </c>
      <c r="AO56">
        <v>25.65</v>
      </c>
      <c r="AP56">
        <v>0</v>
      </c>
      <c r="AQ56">
        <v>2.08</v>
      </c>
      <c r="AR56">
        <v>0</v>
      </c>
      <c r="AS56">
        <v>0</v>
      </c>
      <c r="AT56">
        <v>96</v>
      </c>
      <c r="AU56">
        <v>42</v>
      </c>
      <c r="AV56">
        <v>1.047</v>
      </c>
      <c r="AW56">
        <v>1</v>
      </c>
      <c r="AX56">
        <v>8.494546695792039</v>
      </c>
      <c r="AY56">
        <v>13.09</v>
      </c>
      <c r="AZ56">
        <v>13.09</v>
      </c>
      <c r="BA56">
        <v>13.09</v>
      </c>
      <c r="BB56">
        <v>5.18</v>
      </c>
      <c r="BC56">
        <v>4.56</v>
      </c>
      <c r="BH56">
        <v>0</v>
      </c>
      <c r="BI56">
        <v>2</v>
      </c>
      <c r="BJ56" t="s">
        <v>23</v>
      </c>
      <c r="BM56">
        <v>333</v>
      </c>
      <c r="BN56">
        <v>0</v>
      </c>
      <c r="BO56" t="s">
        <v>20</v>
      </c>
      <c r="BP56">
        <v>1</v>
      </c>
      <c r="BQ56">
        <v>40</v>
      </c>
      <c r="BR56">
        <v>0</v>
      </c>
      <c r="BS56">
        <v>13.09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96</v>
      </c>
      <c r="CA56">
        <v>42</v>
      </c>
      <c r="CF56">
        <v>0</v>
      </c>
      <c r="CG56">
        <v>0</v>
      </c>
      <c r="CM56">
        <v>0</v>
      </c>
      <c r="CO56">
        <v>0</v>
      </c>
      <c r="CP56">
        <f t="shared" si="27"/>
        <v>2067.76</v>
      </c>
      <c r="CQ56">
        <f t="shared" si="28"/>
        <v>78.84239999999998</v>
      </c>
      <c r="CR56">
        <f t="shared" si="29"/>
        <v>86.55842159999999</v>
      </c>
      <c r="CS56">
        <f t="shared" si="30"/>
        <v>14.2534392</v>
      </c>
      <c r="CT56">
        <f t="shared" si="31"/>
        <v>351.53914949999995</v>
      </c>
      <c r="CU56">
        <f t="shared" si="32"/>
        <v>0</v>
      </c>
      <c r="CV56">
        <f t="shared" si="33"/>
        <v>2.17776</v>
      </c>
      <c r="CW56">
        <f t="shared" si="34"/>
        <v>0</v>
      </c>
      <c r="CX56">
        <f t="shared" si="35"/>
        <v>0</v>
      </c>
      <c r="CY56">
        <f t="shared" si="36"/>
        <v>1349.9136</v>
      </c>
      <c r="CZ56">
        <f t="shared" si="37"/>
        <v>590.5872</v>
      </c>
      <c r="DN56">
        <v>112</v>
      </c>
      <c r="DO56">
        <v>70</v>
      </c>
      <c r="DP56">
        <v>1.047</v>
      </c>
      <c r="DQ56">
        <v>1</v>
      </c>
      <c r="DR56">
        <v>4.56</v>
      </c>
      <c r="DS56">
        <v>8.494546695792039</v>
      </c>
      <c r="DT56">
        <v>13.09</v>
      </c>
      <c r="DU56">
        <v>1010</v>
      </c>
      <c r="DV56" t="s">
        <v>22</v>
      </c>
      <c r="DW56" t="s">
        <v>22</v>
      </c>
      <c r="DX56">
        <v>1</v>
      </c>
      <c r="EE56">
        <v>18683887</v>
      </c>
      <c r="EF56">
        <v>40</v>
      </c>
      <c r="EG56" t="s">
        <v>27</v>
      </c>
      <c r="EH56">
        <v>0</v>
      </c>
      <c r="EJ56">
        <v>2</v>
      </c>
      <c r="EK56">
        <v>333</v>
      </c>
      <c r="EL56" t="s">
        <v>28</v>
      </c>
      <c r="EM56" t="s">
        <v>29</v>
      </c>
      <c r="EQ56">
        <v>0</v>
      </c>
      <c r="ER56">
        <v>58.9</v>
      </c>
      <c r="ES56">
        <v>17.29</v>
      </c>
      <c r="ET56">
        <v>15.96</v>
      </c>
      <c r="EU56">
        <v>1.04</v>
      </c>
      <c r="EV56">
        <v>25.65</v>
      </c>
      <c r="EW56">
        <v>2.08</v>
      </c>
      <c r="EX56">
        <v>0</v>
      </c>
      <c r="EY56">
        <v>0</v>
      </c>
      <c r="EZ56">
        <v>0</v>
      </c>
      <c r="FQ56">
        <v>0</v>
      </c>
      <c r="FR56">
        <f t="shared" si="38"/>
        <v>0</v>
      </c>
      <c r="FS56">
        <v>0</v>
      </c>
      <c r="FX56">
        <v>96</v>
      </c>
      <c r="FY56">
        <v>42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</row>
    <row r="57" spans="1:194" ht="12.75">
      <c r="A57">
        <v>17</v>
      </c>
      <c r="B57">
        <v>1</v>
      </c>
      <c r="E57" t="s">
        <v>101</v>
      </c>
      <c r="F57" t="s">
        <v>102</v>
      </c>
      <c r="G57" t="s">
        <v>103</v>
      </c>
      <c r="H57" t="s">
        <v>22</v>
      </c>
      <c r="I57">
        <v>2</v>
      </c>
      <c r="J57">
        <v>0</v>
      </c>
      <c r="O57">
        <f t="shared" si="7"/>
        <v>493.83</v>
      </c>
      <c r="P57">
        <f t="shared" si="8"/>
        <v>79.8</v>
      </c>
      <c r="Q57">
        <f t="shared" si="9"/>
        <v>90.31</v>
      </c>
      <c r="R57">
        <f t="shared" si="10"/>
        <v>35.36</v>
      </c>
      <c r="S57">
        <f t="shared" si="11"/>
        <v>323.72</v>
      </c>
      <c r="T57">
        <f t="shared" si="12"/>
        <v>0</v>
      </c>
      <c r="U57">
        <f t="shared" si="13"/>
        <v>2.1568199999999997</v>
      </c>
      <c r="V57">
        <f t="shared" si="14"/>
        <v>0</v>
      </c>
      <c r="W57">
        <f t="shared" si="15"/>
        <v>0</v>
      </c>
      <c r="X57">
        <f t="shared" si="16"/>
        <v>310.77</v>
      </c>
      <c r="Y57">
        <f t="shared" si="17"/>
        <v>135.96</v>
      </c>
      <c r="AA57">
        <v>0</v>
      </c>
      <c r="AB57">
        <f t="shared" si="18"/>
        <v>26.380000000000003</v>
      </c>
      <c r="AC57">
        <f t="shared" si="19"/>
        <v>8.75</v>
      </c>
      <c r="AD57">
        <f t="shared" si="20"/>
        <v>5.82</v>
      </c>
      <c r="AE57">
        <f t="shared" si="21"/>
        <v>1.29</v>
      </c>
      <c r="AF57">
        <f t="shared" si="22"/>
        <v>11.81</v>
      </c>
      <c r="AG57">
        <f t="shared" si="23"/>
        <v>0</v>
      </c>
      <c r="AH57">
        <f t="shared" si="24"/>
        <v>1.03</v>
      </c>
      <c r="AI57">
        <f t="shared" si="25"/>
        <v>0</v>
      </c>
      <c r="AJ57">
        <f t="shared" si="26"/>
        <v>0</v>
      </c>
      <c r="AK57">
        <v>26.38</v>
      </c>
      <c r="AL57">
        <v>8.75</v>
      </c>
      <c r="AM57">
        <v>5.82</v>
      </c>
      <c r="AN57">
        <v>1.29</v>
      </c>
      <c r="AO57">
        <v>11.81</v>
      </c>
      <c r="AP57">
        <v>0</v>
      </c>
      <c r="AQ57">
        <v>1.03</v>
      </c>
      <c r="AR57">
        <v>0</v>
      </c>
      <c r="AS57">
        <v>0</v>
      </c>
      <c r="AT57">
        <v>96</v>
      </c>
      <c r="AU57">
        <v>42</v>
      </c>
      <c r="AV57">
        <v>1.047</v>
      </c>
      <c r="AW57">
        <v>1</v>
      </c>
      <c r="AX57">
        <v>1</v>
      </c>
      <c r="AY57">
        <v>13.09</v>
      </c>
      <c r="AZ57">
        <v>13.09</v>
      </c>
      <c r="BA57">
        <v>13.09</v>
      </c>
      <c r="BB57">
        <v>7.41</v>
      </c>
      <c r="BC57">
        <v>4.56</v>
      </c>
      <c r="BH57">
        <v>0</v>
      </c>
      <c r="BI57">
        <v>2</v>
      </c>
      <c r="BJ57" t="s">
        <v>104</v>
      </c>
      <c r="BM57">
        <v>355</v>
      </c>
      <c r="BN57">
        <v>0</v>
      </c>
      <c r="BO57" t="s">
        <v>102</v>
      </c>
      <c r="BP57">
        <v>1</v>
      </c>
      <c r="BQ57">
        <v>40</v>
      </c>
      <c r="BR57">
        <v>0</v>
      </c>
      <c r="BS57">
        <v>13.09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96</v>
      </c>
      <c r="CA57">
        <v>42</v>
      </c>
      <c r="CF57">
        <v>0</v>
      </c>
      <c r="CG57">
        <v>0</v>
      </c>
      <c r="CM57">
        <v>0</v>
      </c>
      <c r="CO57">
        <v>0</v>
      </c>
      <c r="CP57">
        <f t="shared" si="27"/>
        <v>493.83000000000004</v>
      </c>
      <c r="CQ57">
        <f t="shared" si="28"/>
        <v>39.9</v>
      </c>
      <c r="CR57">
        <f t="shared" si="29"/>
        <v>45.1531314</v>
      </c>
      <c r="CS57">
        <f t="shared" si="30"/>
        <v>17.6797467</v>
      </c>
      <c r="CT57">
        <f t="shared" si="31"/>
        <v>161.85876629999998</v>
      </c>
      <c r="CU57">
        <f t="shared" si="32"/>
        <v>0</v>
      </c>
      <c r="CV57">
        <f t="shared" si="33"/>
        <v>1.0784099999999999</v>
      </c>
      <c r="CW57">
        <f t="shared" si="34"/>
        <v>0</v>
      </c>
      <c r="CX57">
        <f t="shared" si="35"/>
        <v>0</v>
      </c>
      <c r="CY57">
        <f t="shared" si="36"/>
        <v>310.7712</v>
      </c>
      <c r="CZ57">
        <f t="shared" si="37"/>
        <v>135.9624</v>
      </c>
      <c r="DN57">
        <v>112</v>
      </c>
      <c r="DO57">
        <v>70</v>
      </c>
      <c r="DP57">
        <v>1.047</v>
      </c>
      <c r="DQ57">
        <v>1</v>
      </c>
      <c r="DR57">
        <v>4.56</v>
      </c>
      <c r="DS57">
        <v>1</v>
      </c>
      <c r="DT57">
        <v>13.09</v>
      </c>
      <c r="DU57">
        <v>1010</v>
      </c>
      <c r="DV57" t="s">
        <v>22</v>
      </c>
      <c r="DW57" t="s">
        <v>22</v>
      </c>
      <c r="DX57">
        <v>1</v>
      </c>
      <c r="EE57">
        <v>18683909</v>
      </c>
      <c r="EF57">
        <v>40</v>
      </c>
      <c r="EG57" t="s">
        <v>27</v>
      </c>
      <c r="EH57">
        <v>0</v>
      </c>
      <c r="EJ57">
        <v>2</v>
      </c>
      <c r="EK57">
        <v>355</v>
      </c>
      <c r="EL57" t="s">
        <v>105</v>
      </c>
      <c r="EM57" t="s">
        <v>106</v>
      </c>
      <c r="EQ57">
        <v>0</v>
      </c>
      <c r="ER57">
        <v>26.38</v>
      </c>
      <c r="ES57">
        <v>8.75</v>
      </c>
      <c r="ET57">
        <v>5.82</v>
      </c>
      <c r="EU57">
        <v>1.29</v>
      </c>
      <c r="EV57">
        <v>11.81</v>
      </c>
      <c r="EW57">
        <v>1.03</v>
      </c>
      <c r="EX57">
        <v>0</v>
      </c>
      <c r="EY57">
        <v>0</v>
      </c>
      <c r="EZ57">
        <v>0</v>
      </c>
      <c r="FQ57">
        <v>0</v>
      </c>
      <c r="FR57">
        <f t="shared" si="38"/>
        <v>0</v>
      </c>
      <c r="FS57">
        <v>0</v>
      </c>
      <c r="FX57">
        <v>96</v>
      </c>
      <c r="FY57">
        <v>42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</row>
    <row r="58" spans="1:194" ht="12.75">
      <c r="A58">
        <v>17</v>
      </c>
      <c r="B58">
        <v>1</v>
      </c>
      <c r="C58">
        <f>ROW(SmtRes!A7)</f>
        <v>7</v>
      </c>
      <c r="D58">
        <f>ROW(EtalonRes!A7)</f>
        <v>7</v>
      </c>
      <c r="E58" t="s">
        <v>107</v>
      </c>
      <c r="F58" t="s">
        <v>108</v>
      </c>
      <c r="G58" t="s">
        <v>109</v>
      </c>
      <c r="H58" t="s">
        <v>22</v>
      </c>
      <c r="I58">
        <v>1</v>
      </c>
      <c r="J58">
        <v>0</v>
      </c>
      <c r="O58">
        <f t="shared" si="7"/>
        <v>4082.57</v>
      </c>
      <c r="P58">
        <f t="shared" si="8"/>
        <v>84.27</v>
      </c>
      <c r="Q58">
        <f t="shared" si="9"/>
        <v>12.82</v>
      </c>
      <c r="R58">
        <f t="shared" si="10"/>
        <v>6.99</v>
      </c>
      <c r="S58">
        <f t="shared" si="11"/>
        <v>3985.48</v>
      </c>
      <c r="T58">
        <f t="shared" si="12"/>
        <v>0</v>
      </c>
      <c r="U58">
        <f t="shared" si="13"/>
        <v>20.939999999999998</v>
      </c>
      <c r="V58">
        <f t="shared" si="14"/>
        <v>0</v>
      </c>
      <c r="W58">
        <f t="shared" si="15"/>
        <v>0</v>
      </c>
      <c r="X58">
        <f t="shared" si="16"/>
        <v>3826.06</v>
      </c>
      <c r="Y58">
        <f t="shared" si="17"/>
        <v>1673.9</v>
      </c>
      <c r="AA58">
        <v>0</v>
      </c>
      <c r="AB58">
        <f t="shared" si="18"/>
        <v>311.47</v>
      </c>
      <c r="AC58">
        <f t="shared" si="19"/>
        <v>18.48</v>
      </c>
      <c r="AD58">
        <f t="shared" si="20"/>
        <v>2.19</v>
      </c>
      <c r="AE58">
        <f t="shared" si="21"/>
        <v>0.51</v>
      </c>
      <c r="AF58">
        <f t="shared" si="22"/>
        <v>290.8</v>
      </c>
      <c r="AG58">
        <f t="shared" si="23"/>
        <v>0</v>
      </c>
      <c r="AH58">
        <f t="shared" si="24"/>
        <v>20</v>
      </c>
      <c r="AI58">
        <f t="shared" si="25"/>
        <v>0</v>
      </c>
      <c r="AJ58">
        <f t="shared" si="26"/>
        <v>0</v>
      </c>
      <c r="AK58">
        <v>311.47</v>
      </c>
      <c r="AL58">
        <v>18.48</v>
      </c>
      <c r="AM58">
        <v>2.19</v>
      </c>
      <c r="AN58">
        <v>0.51</v>
      </c>
      <c r="AO58">
        <v>290.8</v>
      </c>
      <c r="AP58">
        <v>0</v>
      </c>
      <c r="AQ58">
        <v>20</v>
      </c>
      <c r="AR58">
        <v>0</v>
      </c>
      <c r="AS58">
        <v>0</v>
      </c>
      <c r="AT58">
        <v>96</v>
      </c>
      <c r="AU58">
        <v>42</v>
      </c>
      <c r="AV58">
        <v>1.047</v>
      </c>
      <c r="AW58">
        <v>1</v>
      </c>
      <c r="AX58">
        <v>12.55243890668322</v>
      </c>
      <c r="AY58">
        <v>13.09</v>
      </c>
      <c r="AZ58">
        <v>13.09</v>
      </c>
      <c r="BA58">
        <v>13.09</v>
      </c>
      <c r="BB58">
        <v>5.59</v>
      </c>
      <c r="BC58">
        <v>4.56</v>
      </c>
      <c r="BH58">
        <v>0</v>
      </c>
      <c r="BI58">
        <v>2</v>
      </c>
      <c r="BJ58" t="s">
        <v>110</v>
      </c>
      <c r="BM58">
        <v>336</v>
      </c>
      <c r="BN58">
        <v>0</v>
      </c>
      <c r="BO58" t="s">
        <v>108</v>
      </c>
      <c r="BP58">
        <v>1</v>
      </c>
      <c r="BQ58">
        <v>40</v>
      </c>
      <c r="BR58">
        <v>0</v>
      </c>
      <c r="BS58">
        <v>13.09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96</v>
      </c>
      <c r="CA58">
        <v>42</v>
      </c>
      <c r="CF58">
        <v>0</v>
      </c>
      <c r="CG58">
        <v>0</v>
      </c>
      <c r="CM58">
        <v>0</v>
      </c>
      <c r="CO58">
        <v>0</v>
      </c>
      <c r="CP58">
        <f t="shared" si="27"/>
        <v>4082.57</v>
      </c>
      <c r="CQ58">
        <f t="shared" si="28"/>
        <v>84.2688</v>
      </c>
      <c r="CR58">
        <f t="shared" si="29"/>
        <v>12.817478699999999</v>
      </c>
      <c r="CS58">
        <f t="shared" si="30"/>
        <v>6.989667299999999</v>
      </c>
      <c r="CT58">
        <f t="shared" si="31"/>
        <v>3985.480884</v>
      </c>
      <c r="CU58">
        <f t="shared" si="32"/>
        <v>0</v>
      </c>
      <c r="CV58">
        <f t="shared" si="33"/>
        <v>20.939999999999998</v>
      </c>
      <c r="CW58">
        <f t="shared" si="34"/>
        <v>0</v>
      </c>
      <c r="CX58">
        <f t="shared" si="35"/>
        <v>0</v>
      </c>
      <c r="CY58">
        <f t="shared" si="36"/>
        <v>3826.0607999999997</v>
      </c>
      <c r="CZ58">
        <f t="shared" si="37"/>
        <v>1673.9016</v>
      </c>
      <c r="DN58">
        <v>112</v>
      </c>
      <c r="DO58">
        <v>70</v>
      </c>
      <c r="DP58">
        <v>1.047</v>
      </c>
      <c r="DQ58">
        <v>1</v>
      </c>
      <c r="DR58">
        <v>4.56</v>
      </c>
      <c r="DS58">
        <v>12.55243890668322</v>
      </c>
      <c r="DT58">
        <v>13.09</v>
      </c>
      <c r="DU58">
        <v>1010</v>
      </c>
      <c r="DV58" t="s">
        <v>22</v>
      </c>
      <c r="DW58" t="s">
        <v>22</v>
      </c>
      <c r="DX58">
        <v>1</v>
      </c>
      <c r="EE58">
        <v>18683890</v>
      </c>
      <c r="EF58">
        <v>40</v>
      </c>
      <c r="EG58" t="s">
        <v>27</v>
      </c>
      <c r="EH58">
        <v>0</v>
      </c>
      <c r="EJ58">
        <v>2</v>
      </c>
      <c r="EK58">
        <v>336</v>
      </c>
      <c r="EL58" t="s">
        <v>51</v>
      </c>
      <c r="EM58" t="s">
        <v>52</v>
      </c>
      <c r="EQ58">
        <v>64</v>
      </c>
      <c r="ER58">
        <v>311.47</v>
      </c>
      <c r="ES58">
        <v>18.48</v>
      </c>
      <c r="ET58">
        <v>2.19</v>
      </c>
      <c r="EU58">
        <v>0.51</v>
      </c>
      <c r="EV58">
        <v>290.8</v>
      </c>
      <c r="EW58">
        <v>20</v>
      </c>
      <c r="EX58">
        <v>0</v>
      </c>
      <c r="EY58">
        <v>0</v>
      </c>
      <c r="EZ58">
        <v>0</v>
      </c>
      <c r="FQ58">
        <v>0</v>
      </c>
      <c r="FR58">
        <f t="shared" si="38"/>
        <v>0</v>
      </c>
      <c r="FS58">
        <v>0</v>
      </c>
      <c r="FX58">
        <v>96</v>
      </c>
      <c r="FY58">
        <v>42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1</v>
      </c>
      <c r="GL58">
        <v>0</v>
      </c>
    </row>
    <row r="59" spans="1:194" ht="12.75">
      <c r="A59">
        <v>17</v>
      </c>
      <c r="B59">
        <v>1</v>
      </c>
      <c r="C59">
        <f>ROW(SmtRes!A10)</f>
        <v>10</v>
      </c>
      <c r="D59">
        <f>ROW(EtalonRes!A11)</f>
        <v>11</v>
      </c>
      <c r="E59" t="s">
        <v>111</v>
      </c>
      <c r="F59" t="s">
        <v>112</v>
      </c>
      <c r="G59" t="s">
        <v>113</v>
      </c>
      <c r="H59" t="s">
        <v>22</v>
      </c>
      <c r="I59">
        <v>1</v>
      </c>
      <c r="J59">
        <v>0</v>
      </c>
      <c r="O59">
        <f t="shared" si="7"/>
        <v>661.74</v>
      </c>
      <c r="P59">
        <f t="shared" si="8"/>
        <v>12.13</v>
      </c>
      <c r="Q59">
        <f t="shared" si="9"/>
        <v>61.04</v>
      </c>
      <c r="R59">
        <f t="shared" si="10"/>
        <v>26.26</v>
      </c>
      <c r="S59">
        <f t="shared" si="11"/>
        <v>588.57</v>
      </c>
      <c r="T59">
        <f t="shared" si="12"/>
        <v>0</v>
      </c>
      <c r="U59">
        <f t="shared" si="13"/>
        <v>3.87321</v>
      </c>
      <c r="V59">
        <f t="shared" si="14"/>
        <v>0</v>
      </c>
      <c r="W59">
        <f t="shared" si="15"/>
        <v>0</v>
      </c>
      <c r="X59">
        <f t="shared" si="16"/>
        <v>629.77</v>
      </c>
      <c r="Y59">
        <f t="shared" si="17"/>
        <v>288.4</v>
      </c>
      <c r="AA59">
        <v>0</v>
      </c>
      <c r="AB59">
        <f t="shared" si="18"/>
        <v>52.519999999999996</v>
      </c>
      <c r="AC59">
        <f t="shared" si="19"/>
        <v>2.66</v>
      </c>
      <c r="AD59">
        <f t="shared" si="20"/>
        <v>7.72</v>
      </c>
      <c r="AE59">
        <f t="shared" si="21"/>
        <v>1.88</v>
      </c>
      <c r="AF59">
        <f t="shared" si="22"/>
        <v>42.14</v>
      </c>
      <c r="AG59">
        <f t="shared" si="23"/>
        <v>0</v>
      </c>
      <c r="AH59">
        <f t="shared" si="24"/>
        <v>3.63</v>
      </c>
      <c r="AI59">
        <f t="shared" si="25"/>
        <v>0</v>
      </c>
      <c r="AJ59">
        <f t="shared" si="26"/>
        <v>0</v>
      </c>
      <c r="AK59">
        <v>52.52</v>
      </c>
      <c r="AL59">
        <v>2.66</v>
      </c>
      <c r="AM59">
        <v>7.72</v>
      </c>
      <c r="AN59">
        <v>1.88</v>
      </c>
      <c r="AO59">
        <v>42.14</v>
      </c>
      <c r="AP59">
        <v>0</v>
      </c>
      <c r="AQ59">
        <v>3.63</v>
      </c>
      <c r="AR59">
        <v>0</v>
      </c>
      <c r="AS59">
        <v>0</v>
      </c>
      <c r="AT59">
        <v>107</v>
      </c>
      <c r="AU59">
        <v>49</v>
      </c>
      <c r="AV59">
        <v>1.067</v>
      </c>
      <c r="AW59">
        <v>1</v>
      </c>
      <c r="AX59">
        <v>1</v>
      </c>
      <c r="AY59">
        <v>13.09</v>
      </c>
      <c r="AZ59">
        <v>13.09</v>
      </c>
      <c r="BA59">
        <v>13.09</v>
      </c>
      <c r="BB59">
        <v>7.41</v>
      </c>
      <c r="BC59">
        <v>4.56</v>
      </c>
      <c r="BH59">
        <v>0</v>
      </c>
      <c r="BI59">
        <v>1</v>
      </c>
      <c r="BJ59" t="s">
        <v>114</v>
      </c>
      <c r="BM59">
        <v>137</v>
      </c>
      <c r="BN59">
        <v>0</v>
      </c>
      <c r="BO59" t="s">
        <v>112</v>
      </c>
      <c r="BP59">
        <v>1</v>
      </c>
      <c r="BQ59">
        <v>30</v>
      </c>
      <c r="BR59">
        <v>0</v>
      </c>
      <c r="BS59">
        <v>13.09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107</v>
      </c>
      <c r="CA59">
        <v>49</v>
      </c>
      <c r="CF59">
        <v>0</v>
      </c>
      <c r="CG59">
        <v>0</v>
      </c>
      <c r="CM59">
        <v>0</v>
      </c>
      <c r="CO59">
        <v>0</v>
      </c>
      <c r="CP59">
        <f t="shared" si="27"/>
        <v>661.74</v>
      </c>
      <c r="CQ59">
        <f t="shared" si="28"/>
        <v>12.1296</v>
      </c>
      <c r="CR59">
        <f t="shared" si="29"/>
        <v>61.0379484</v>
      </c>
      <c r="CS59">
        <f t="shared" si="30"/>
        <v>26.2580164</v>
      </c>
      <c r="CT59">
        <f t="shared" si="31"/>
        <v>588.5706442000001</v>
      </c>
      <c r="CU59">
        <f t="shared" si="32"/>
        <v>0</v>
      </c>
      <c r="CV59">
        <f t="shared" si="33"/>
        <v>3.87321</v>
      </c>
      <c r="CW59">
        <f t="shared" si="34"/>
        <v>0</v>
      </c>
      <c r="CX59">
        <f t="shared" si="35"/>
        <v>0</v>
      </c>
      <c r="CY59">
        <f t="shared" si="36"/>
        <v>629.7699000000001</v>
      </c>
      <c r="CZ59">
        <f t="shared" si="37"/>
        <v>288.39930000000004</v>
      </c>
      <c r="DN59">
        <v>125</v>
      </c>
      <c r="DO59">
        <v>94</v>
      </c>
      <c r="DP59">
        <v>1.067</v>
      </c>
      <c r="DQ59">
        <v>1</v>
      </c>
      <c r="DR59">
        <v>4.56</v>
      </c>
      <c r="DS59">
        <v>1</v>
      </c>
      <c r="DT59">
        <v>13.09</v>
      </c>
      <c r="DU59">
        <v>1010</v>
      </c>
      <c r="DV59" t="s">
        <v>22</v>
      </c>
      <c r="DW59" t="s">
        <v>22</v>
      </c>
      <c r="DX59">
        <v>1</v>
      </c>
      <c r="EE59">
        <v>18683691</v>
      </c>
      <c r="EF59">
        <v>30</v>
      </c>
      <c r="EG59" t="s">
        <v>44</v>
      </c>
      <c r="EH59">
        <v>0</v>
      </c>
      <c r="EJ59">
        <v>1</v>
      </c>
      <c r="EK59">
        <v>137</v>
      </c>
      <c r="EL59" t="s">
        <v>115</v>
      </c>
      <c r="EM59" t="s">
        <v>116</v>
      </c>
      <c r="EQ59">
        <v>64</v>
      </c>
      <c r="ER59">
        <v>52.52</v>
      </c>
      <c r="ES59">
        <v>2.66</v>
      </c>
      <c r="ET59">
        <v>7.72</v>
      </c>
      <c r="EU59">
        <v>1.88</v>
      </c>
      <c r="EV59">
        <v>42.14</v>
      </c>
      <c r="EW59">
        <v>3.63</v>
      </c>
      <c r="EX59">
        <v>0</v>
      </c>
      <c r="EY59">
        <v>0</v>
      </c>
      <c r="EZ59">
        <v>0</v>
      </c>
      <c r="FQ59">
        <v>0</v>
      </c>
      <c r="FR59">
        <f t="shared" si="38"/>
        <v>0</v>
      </c>
      <c r="FS59">
        <v>0</v>
      </c>
      <c r="FX59">
        <v>107</v>
      </c>
      <c r="FY59">
        <v>49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1</v>
      </c>
      <c r="GL59">
        <v>0</v>
      </c>
    </row>
    <row r="60" spans="1:194" ht="12.75">
      <c r="A60">
        <v>17</v>
      </c>
      <c r="B60">
        <v>1</v>
      </c>
      <c r="C60">
        <f>ROW(SmtRes!A12)</f>
        <v>12</v>
      </c>
      <c r="D60">
        <f>ROW(EtalonRes!A13)</f>
        <v>13</v>
      </c>
      <c r="E60" t="s">
        <v>117</v>
      </c>
      <c r="F60" t="s">
        <v>118</v>
      </c>
      <c r="G60" t="s">
        <v>119</v>
      </c>
      <c r="H60" t="s">
        <v>120</v>
      </c>
      <c r="I60">
        <f>0.119*1</f>
        <v>0.119</v>
      </c>
      <c r="J60">
        <v>0</v>
      </c>
      <c r="O60">
        <f t="shared" si="7"/>
        <v>99.97</v>
      </c>
      <c r="P60">
        <f t="shared" si="8"/>
        <v>0</v>
      </c>
      <c r="Q60">
        <f t="shared" si="9"/>
        <v>3.44</v>
      </c>
      <c r="R60">
        <f t="shared" si="10"/>
        <v>1.66</v>
      </c>
      <c r="S60">
        <f t="shared" si="11"/>
        <v>96.53</v>
      </c>
      <c r="T60">
        <f t="shared" si="12"/>
        <v>0</v>
      </c>
      <c r="U60">
        <f t="shared" si="13"/>
        <v>0.5586812</v>
      </c>
      <c r="V60">
        <f t="shared" si="14"/>
        <v>0</v>
      </c>
      <c r="W60">
        <f t="shared" si="15"/>
        <v>0</v>
      </c>
      <c r="X60">
        <f t="shared" si="16"/>
        <v>70.47</v>
      </c>
      <c r="Y60">
        <f t="shared" si="17"/>
        <v>40.54</v>
      </c>
      <c r="AA60">
        <v>0</v>
      </c>
      <c r="AB60">
        <f t="shared" si="18"/>
        <v>63.08</v>
      </c>
      <c r="AC60">
        <f t="shared" si="19"/>
        <v>0</v>
      </c>
      <c r="AD60">
        <f t="shared" si="20"/>
        <v>5</v>
      </c>
      <c r="AE60">
        <f t="shared" si="21"/>
        <v>1</v>
      </c>
      <c r="AF60">
        <f t="shared" si="22"/>
        <v>58.08</v>
      </c>
      <c r="AG60">
        <f t="shared" si="23"/>
        <v>0</v>
      </c>
      <c r="AH60">
        <f t="shared" si="24"/>
        <v>4.4</v>
      </c>
      <c r="AI60">
        <f t="shared" si="25"/>
        <v>0</v>
      </c>
      <c r="AJ60">
        <f t="shared" si="26"/>
        <v>0</v>
      </c>
      <c r="AK60">
        <v>63.08</v>
      </c>
      <c r="AL60">
        <v>0</v>
      </c>
      <c r="AM60">
        <v>5</v>
      </c>
      <c r="AN60">
        <v>1</v>
      </c>
      <c r="AO60">
        <v>58.08</v>
      </c>
      <c r="AP60">
        <v>0</v>
      </c>
      <c r="AQ60">
        <v>4.4</v>
      </c>
      <c r="AR60">
        <v>0</v>
      </c>
      <c r="AS60">
        <v>0</v>
      </c>
      <c r="AT60">
        <v>73</v>
      </c>
      <c r="AU60">
        <v>42</v>
      </c>
      <c r="AV60">
        <v>1.067</v>
      </c>
      <c r="AW60">
        <v>1.028</v>
      </c>
      <c r="AX60">
        <v>12.482179622689856</v>
      </c>
      <c r="AY60">
        <v>13.09</v>
      </c>
      <c r="AZ60">
        <v>13.09</v>
      </c>
      <c r="BA60">
        <v>13.09</v>
      </c>
      <c r="BB60">
        <v>5.42</v>
      </c>
      <c r="BC60">
        <v>1</v>
      </c>
      <c r="BH60">
        <v>0</v>
      </c>
      <c r="BI60">
        <v>2</v>
      </c>
      <c r="BJ60" t="s">
        <v>121</v>
      </c>
      <c r="BM60">
        <v>311</v>
      </c>
      <c r="BN60">
        <v>0</v>
      </c>
      <c r="BO60" t="s">
        <v>118</v>
      </c>
      <c r="BP60">
        <v>1</v>
      </c>
      <c r="BQ60">
        <v>40</v>
      </c>
      <c r="BR60">
        <v>0</v>
      </c>
      <c r="BS60">
        <v>13.09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73</v>
      </c>
      <c r="CA60">
        <v>42</v>
      </c>
      <c r="CF60">
        <v>0</v>
      </c>
      <c r="CG60">
        <v>0</v>
      </c>
      <c r="CM60">
        <v>0</v>
      </c>
      <c r="CO60">
        <v>0</v>
      </c>
      <c r="CP60">
        <f t="shared" si="27"/>
        <v>99.97</v>
      </c>
      <c r="CQ60">
        <f t="shared" si="28"/>
        <v>0</v>
      </c>
      <c r="CR60">
        <f t="shared" si="29"/>
        <v>28.9157</v>
      </c>
      <c r="CS60">
        <f t="shared" si="30"/>
        <v>13.96703</v>
      </c>
      <c r="CT60">
        <f t="shared" si="31"/>
        <v>811.2051024</v>
      </c>
      <c r="CU60">
        <f t="shared" si="32"/>
        <v>0</v>
      </c>
      <c r="CV60">
        <f t="shared" si="33"/>
        <v>4.6948</v>
      </c>
      <c r="CW60">
        <f t="shared" si="34"/>
        <v>0</v>
      </c>
      <c r="CX60">
        <f t="shared" si="35"/>
        <v>0</v>
      </c>
      <c r="CY60">
        <f t="shared" si="36"/>
        <v>70.4669</v>
      </c>
      <c r="CZ60">
        <f t="shared" si="37"/>
        <v>40.5426</v>
      </c>
      <c r="DN60">
        <v>79</v>
      </c>
      <c r="DO60">
        <v>70</v>
      </c>
      <c r="DP60">
        <v>1.067</v>
      </c>
      <c r="DQ60">
        <v>1.028</v>
      </c>
      <c r="DR60">
        <v>1</v>
      </c>
      <c r="DS60">
        <v>12.482179622689856</v>
      </c>
      <c r="DT60">
        <v>13.09</v>
      </c>
      <c r="DU60">
        <v>1009</v>
      </c>
      <c r="DV60" t="s">
        <v>120</v>
      </c>
      <c r="DW60" t="s">
        <v>120</v>
      </c>
      <c r="DX60">
        <v>1000</v>
      </c>
      <c r="EE60">
        <v>18683865</v>
      </c>
      <c r="EF60">
        <v>40</v>
      </c>
      <c r="EG60" t="s">
        <v>27</v>
      </c>
      <c r="EH60">
        <v>0</v>
      </c>
      <c r="EJ60">
        <v>2</v>
      </c>
      <c r="EK60">
        <v>311</v>
      </c>
      <c r="EL60" t="s">
        <v>122</v>
      </c>
      <c r="EM60" t="s">
        <v>123</v>
      </c>
      <c r="EQ60">
        <v>64</v>
      </c>
      <c r="ER60">
        <v>63.08</v>
      </c>
      <c r="ES60">
        <v>0</v>
      </c>
      <c r="ET60">
        <v>5</v>
      </c>
      <c r="EU60">
        <v>1</v>
      </c>
      <c r="EV60">
        <v>58.08</v>
      </c>
      <c r="EW60">
        <v>4.4</v>
      </c>
      <c r="EX60">
        <v>0</v>
      </c>
      <c r="EY60">
        <v>0</v>
      </c>
      <c r="EZ60">
        <v>0</v>
      </c>
      <c r="FQ60">
        <v>0</v>
      </c>
      <c r="FR60">
        <f t="shared" si="38"/>
        <v>0</v>
      </c>
      <c r="FS60">
        <v>0</v>
      </c>
      <c r="FX60">
        <v>73</v>
      </c>
      <c r="FY60">
        <v>42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1</v>
      </c>
      <c r="GL60">
        <v>0</v>
      </c>
    </row>
    <row r="61" spans="1:194" ht="12.75">
      <c r="A61">
        <v>17</v>
      </c>
      <c r="B61">
        <v>1</v>
      </c>
      <c r="E61" t="s">
        <v>124</v>
      </c>
      <c r="F61" t="s">
        <v>125</v>
      </c>
      <c r="G61" t="s">
        <v>126</v>
      </c>
      <c r="H61" t="s">
        <v>22</v>
      </c>
      <c r="I61">
        <v>1</v>
      </c>
      <c r="J61">
        <v>0</v>
      </c>
      <c r="O61">
        <f t="shared" si="7"/>
        <v>2254.86</v>
      </c>
      <c r="P61">
        <f t="shared" si="8"/>
        <v>6.38</v>
      </c>
      <c r="Q61">
        <f t="shared" si="9"/>
        <v>0</v>
      </c>
      <c r="R61">
        <f t="shared" si="10"/>
        <v>0</v>
      </c>
      <c r="S61">
        <f t="shared" si="11"/>
        <v>2248.48</v>
      </c>
      <c r="T61">
        <f t="shared" si="12"/>
        <v>0</v>
      </c>
      <c r="U61">
        <f t="shared" si="13"/>
        <v>13.610999999999999</v>
      </c>
      <c r="V61">
        <f t="shared" si="14"/>
        <v>0</v>
      </c>
      <c r="W61">
        <f t="shared" si="15"/>
        <v>0</v>
      </c>
      <c r="X61">
        <f t="shared" si="16"/>
        <v>2158.54</v>
      </c>
      <c r="Y61">
        <f t="shared" si="17"/>
        <v>944.36</v>
      </c>
      <c r="AA61">
        <v>0</v>
      </c>
      <c r="AB61">
        <f t="shared" si="18"/>
        <v>165.46</v>
      </c>
      <c r="AC61">
        <f t="shared" si="19"/>
        <v>1.4</v>
      </c>
      <c r="AD61">
        <f t="shared" si="20"/>
        <v>0</v>
      </c>
      <c r="AE61">
        <f t="shared" si="21"/>
        <v>0</v>
      </c>
      <c r="AF61">
        <f t="shared" si="22"/>
        <v>164.06</v>
      </c>
      <c r="AG61">
        <f t="shared" si="23"/>
        <v>0</v>
      </c>
      <c r="AH61">
        <f t="shared" si="24"/>
        <v>13</v>
      </c>
      <c r="AI61">
        <f t="shared" si="25"/>
        <v>0</v>
      </c>
      <c r="AJ61">
        <f t="shared" si="26"/>
        <v>0</v>
      </c>
      <c r="AK61">
        <v>165.46</v>
      </c>
      <c r="AL61">
        <v>1.4</v>
      </c>
      <c r="AM61">
        <v>0</v>
      </c>
      <c r="AN61">
        <v>0</v>
      </c>
      <c r="AO61">
        <v>164.06</v>
      </c>
      <c r="AP61">
        <v>0</v>
      </c>
      <c r="AQ61">
        <v>13</v>
      </c>
      <c r="AR61">
        <v>0</v>
      </c>
      <c r="AS61">
        <v>0</v>
      </c>
      <c r="AT61">
        <v>96</v>
      </c>
      <c r="AU61">
        <v>42</v>
      </c>
      <c r="AV61">
        <v>1.047</v>
      </c>
      <c r="AW61">
        <v>1</v>
      </c>
      <c r="AX61">
        <v>13.021082048487399</v>
      </c>
      <c r="AY61">
        <v>13.09</v>
      </c>
      <c r="AZ61">
        <v>13.09</v>
      </c>
      <c r="BA61">
        <v>13.09</v>
      </c>
      <c r="BB61">
        <v>1</v>
      </c>
      <c r="BC61">
        <v>4.56</v>
      </c>
      <c r="BH61">
        <v>0</v>
      </c>
      <c r="BI61">
        <v>2</v>
      </c>
      <c r="BJ61" t="s">
        <v>127</v>
      </c>
      <c r="BM61">
        <v>336</v>
      </c>
      <c r="BN61">
        <v>0</v>
      </c>
      <c r="BO61" t="s">
        <v>125</v>
      </c>
      <c r="BP61">
        <v>1</v>
      </c>
      <c r="BQ61">
        <v>40</v>
      </c>
      <c r="BR61">
        <v>0</v>
      </c>
      <c r="BS61">
        <v>13.09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96</v>
      </c>
      <c r="CA61">
        <v>42</v>
      </c>
      <c r="CF61">
        <v>0</v>
      </c>
      <c r="CG61">
        <v>0</v>
      </c>
      <c r="CM61">
        <v>0</v>
      </c>
      <c r="CO61">
        <v>0</v>
      </c>
      <c r="CP61">
        <f t="shared" si="27"/>
        <v>2254.86</v>
      </c>
      <c r="CQ61">
        <f t="shared" si="28"/>
        <v>6.3839999999999995</v>
      </c>
      <c r="CR61">
        <f t="shared" si="29"/>
        <v>0</v>
      </c>
      <c r="CS61">
        <f t="shared" si="30"/>
        <v>0</v>
      </c>
      <c r="CT61">
        <f t="shared" si="31"/>
        <v>2248.4800338</v>
      </c>
      <c r="CU61">
        <f t="shared" si="32"/>
        <v>0</v>
      </c>
      <c r="CV61">
        <f t="shared" si="33"/>
        <v>13.610999999999999</v>
      </c>
      <c r="CW61">
        <f t="shared" si="34"/>
        <v>0</v>
      </c>
      <c r="CX61">
        <f t="shared" si="35"/>
        <v>0</v>
      </c>
      <c r="CY61">
        <f t="shared" si="36"/>
        <v>2158.5407999999998</v>
      </c>
      <c r="CZ61">
        <f t="shared" si="37"/>
        <v>944.3616</v>
      </c>
      <c r="DN61">
        <v>112</v>
      </c>
      <c r="DO61">
        <v>70</v>
      </c>
      <c r="DP61">
        <v>1.047</v>
      </c>
      <c r="DQ61">
        <v>1</v>
      </c>
      <c r="DR61">
        <v>4.56</v>
      </c>
      <c r="DS61">
        <v>13.021082048487399</v>
      </c>
      <c r="DT61">
        <v>13.09</v>
      </c>
      <c r="DU61">
        <v>1010</v>
      </c>
      <c r="DV61" t="s">
        <v>22</v>
      </c>
      <c r="DW61" t="s">
        <v>22</v>
      </c>
      <c r="DX61">
        <v>1</v>
      </c>
      <c r="EE61">
        <v>18683890</v>
      </c>
      <c r="EF61">
        <v>40</v>
      </c>
      <c r="EG61" t="s">
        <v>27</v>
      </c>
      <c r="EH61">
        <v>0</v>
      </c>
      <c r="EJ61">
        <v>2</v>
      </c>
      <c r="EK61">
        <v>336</v>
      </c>
      <c r="EL61" t="s">
        <v>51</v>
      </c>
      <c r="EM61" t="s">
        <v>52</v>
      </c>
      <c r="EQ61">
        <v>0</v>
      </c>
      <c r="ER61">
        <v>165.46</v>
      </c>
      <c r="ES61">
        <v>1.4</v>
      </c>
      <c r="ET61">
        <v>0</v>
      </c>
      <c r="EU61">
        <v>0</v>
      </c>
      <c r="EV61">
        <v>164.06</v>
      </c>
      <c r="EW61">
        <v>13</v>
      </c>
      <c r="EX61">
        <v>0</v>
      </c>
      <c r="EY61">
        <v>0</v>
      </c>
      <c r="EZ61">
        <v>0</v>
      </c>
      <c r="FQ61">
        <v>0</v>
      </c>
      <c r="FR61">
        <f t="shared" si="38"/>
        <v>0</v>
      </c>
      <c r="FS61">
        <v>0</v>
      </c>
      <c r="FX61">
        <v>96</v>
      </c>
      <c r="FY61">
        <v>42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</row>
    <row r="62" spans="1:194" ht="12.75">
      <c r="A62">
        <v>17</v>
      </c>
      <c r="B62">
        <v>1</v>
      </c>
      <c r="E62" t="s">
        <v>128</v>
      </c>
      <c r="F62" t="s">
        <v>129</v>
      </c>
      <c r="G62" t="s">
        <v>130</v>
      </c>
      <c r="H62" t="s">
        <v>22</v>
      </c>
      <c r="I62">
        <v>1</v>
      </c>
      <c r="J62">
        <v>0</v>
      </c>
      <c r="O62">
        <f t="shared" si="7"/>
        <v>163.96</v>
      </c>
      <c r="P62">
        <f t="shared" si="8"/>
        <v>0.64</v>
      </c>
      <c r="Q62">
        <f t="shared" si="9"/>
        <v>3.52</v>
      </c>
      <c r="R62">
        <f t="shared" si="10"/>
        <v>1.51</v>
      </c>
      <c r="S62">
        <f t="shared" si="11"/>
        <v>159.8</v>
      </c>
      <c r="T62">
        <f t="shared" si="12"/>
        <v>0</v>
      </c>
      <c r="U62">
        <f t="shared" si="13"/>
        <v>1.0784099999999999</v>
      </c>
      <c r="V62">
        <f t="shared" si="14"/>
        <v>0</v>
      </c>
      <c r="W62">
        <f t="shared" si="15"/>
        <v>0</v>
      </c>
      <c r="X62">
        <f t="shared" si="16"/>
        <v>153.41</v>
      </c>
      <c r="Y62">
        <f t="shared" si="17"/>
        <v>67.12</v>
      </c>
      <c r="AA62">
        <v>0</v>
      </c>
      <c r="AB62">
        <f t="shared" si="18"/>
        <v>12.25</v>
      </c>
      <c r="AC62">
        <f t="shared" si="19"/>
        <v>0.14</v>
      </c>
      <c r="AD62">
        <f t="shared" si="20"/>
        <v>0.45</v>
      </c>
      <c r="AE62">
        <f t="shared" si="21"/>
        <v>0.11</v>
      </c>
      <c r="AF62">
        <f t="shared" si="22"/>
        <v>11.66</v>
      </c>
      <c r="AG62">
        <f t="shared" si="23"/>
        <v>0</v>
      </c>
      <c r="AH62">
        <f t="shared" si="24"/>
        <v>1.03</v>
      </c>
      <c r="AI62">
        <f t="shared" si="25"/>
        <v>0</v>
      </c>
      <c r="AJ62">
        <f t="shared" si="26"/>
        <v>0</v>
      </c>
      <c r="AK62">
        <v>12.25</v>
      </c>
      <c r="AL62">
        <v>0.14</v>
      </c>
      <c r="AM62">
        <v>0.45</v>
      </c>
      <c r="AN62">
        <v>0.11</v>
      </c>
      <c r="AO62">
        <v>11.66</v>
      </c>
      <c r="AP62">
        <v>0</v>
      </c>
      <c r="AQ62">
        <v>1.03</v>
      </c>
      <c r="AR62">
        <v>0</v>
      </c>
      <c r="AS62">
        <v>0</v>
      </c>
      <c r="AT62">
        <v>96</v>
      </c>
      <c r="AU62">
        <v>42</v>
      </c>
      <c r="AV62">
        <v>1.047</v>
      </c>
      <c r="AW62">
        <v>1</v>
      </c>
      <c r="AX62">
        <v>12.79002879131578</v>
      </c>
      <c r="AY62">
        <v>13.09</v>
      </c>
      <c r="AZ62">
        <v>13.09</v>
      </c>
      <c r="BA62">
        <v>13.09</v>
      </c>
      <c r="BB62">
        <v>7.47</v>
      </c>
      <c r="BC62">
        <v>4.56</v>
      </c>
      <c r="BH62">
        <v>0</v>
      </c>
      <c r="BI62">
        <v>2</v>
      </c>
      <c r="BJ62" t="s">
        <v>131</v>
      </c>
      <c r="BM62">
        <v>355</v>
      </c>
      <c r="BN62">
        <v>0</v>
      </c>
      <c r="BO62" t="s">
        <v>129</v>
      </c>
      <c r="BP62">
        <v>1</v>
      </c>
      <c r="BQ62">
        <v>40</v>
      </c>
      <c r="BR62">
        <v>0</v>
      </c>
      <c r="BS62">
        <v>13.09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96</v>
      </c>
      <c r="CA62">
        <v>42</v>
      </c>
      <c r="CF62">
        <v>0</v>
      </c>
      <c r="CG62">
        <v>0</v>
      </c>
      <c r="CM62">
        <v>0</v>
      </c>
      <c r="CO62">
        <v>0</v>
      </c>
      <c r="CP62">
        <f t="shared" si="27"/>
        <v>163.96</v>
      </c>
      <c r="CQ62">
        <f t="shared" si="28"/>
        <v>0.6384</v>
      </c>
      <c r="CR62">
        <f t="shared" si="29"/>
        <v>3.5194904999999994</v>
      </c>
      <c r="CS62">
        <f t="shared" si="30"/>
        <v>1.5075752999999998</v>
      </c>
      <c r="CT62">
        <f t="shared" si="31"/>
        <v>159.8029818</v>
      </c>
      <c r="CU62">
        <f t="shared" si="32"/>
        <v>0</v>
      </c>
      <c r="CV62">
        <f t="shared" si="33"/>
        <v>1.0784099999999999</v>
      </c>
      <c r="CW62">
        <f t="shared" si="34"/>
        <v>0</v>
      </c>
      <c r="CX62">
        <f t="shared" si="35"/>
        <v>0</v>
      </c>
      <c r="CY62">
        <f t="shared" si="36"/>
        <v>153.40800000000002</v>
      </c>
      <c r="CZ62">
        <f t="shared" si="37"/>
        <v>67.116</v>
      </c>
      <c r="DN62">
        <v>112</v>
      </c>
      <c r="DO62">
        <v>70</v>
      </c>
      <c r="DP62">
        <v>1.047</v>
      </c>
      <c r="DQ62">
        <v>1</v>
      </c>
      <c r="DR62">
        <v>4.56</v>
      </c>
      <c r="DS62">
        <v>12.79002879131578</v>
      </c>
      <c r="DT62">
        <v>13.09</v>
      </c>
      <c r="DU62">
        <v>1010</v>
      </c>
      <c r="DV62" t="s">
        <v>22</v>
      </c>
      <c r="DW62" t="s">
        <v>22</v>
      </c>
      <c r="DX62">
        <v>1</v>
      </c>
      <c r="EE62">
        <v>18683909</v>
      </c>
      <c r="EF62">
        <v>40</v>
      </c>
      <c r="EG62" t="s">
        <v>27</v>
      </c>
      <c r="EH62">
        <v>0</v>
      </c>
      <c r="EJ62">
        <v>2</v>
      </c>
      <c r="EK62">
        <v>355</v>
      </c>
      <c r="EL62" t="s">
        <v>105</v>
      </c>
      <c r="EM62" t="s">
        <v>106</v>
      </c>
      <c r="EQ62">
        <v>0</v>
      </c>
      <c r="ER62">
        <v>12.25</v>
      </c>
      <c r="ES62">
        <v>0.14</v>
      </c>
      <c r="ET62">
        <v>0.45</v>
      </c>
      <c r="EU62">
        <v>0.11</v>
      </c>
      <c r="EV62">
        <v>11.66</v>
      </c>
      <c r="EW62">
        <v>1.03</v>
      </c>
      <c r="EX62">
        <v>0</v>
      </c>
      <c r="EY62">
        <v>0</v>
      </c>
      <c r="EZ62">
        <v>0</v>
      </c>
      <c r="FQ62">
        <v>0</v>
      </c>
      <c r="FR62">
        <f t="shared" si="38"/>
        <v>0</v>
      </c>
      <c r="FS62">
        <v>0</v>
      </c>
      <c r="FX62">
        <v>96</v>
      </c>
      <c r="FY62">
        <v>42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</row>
    <row r="63" spans="1:194" ht="12.75">
      <c r="A63">
        <v>17</v>
      </c>
      <c r="B63">
        <v>1</v>
      </c>
      <c r="E63" t="s">
        <v>132</v>
      </c>
      <c r="F63" t="s">
        <v>133</v>
      </c>
      <c r="G63" t="s">
        <v>134</v>
      </c>
      <c r="H63" t="s">
        <v>22</v>
      </c>
      <c r="I63">
        <v>1</v>
      </c>
      <c r="J63">
        <v>0</v>
      </c>
      <c r="O63">
        <f t="shared" si="7"/>
        <v>275.97</v>
      </c>
      <c r="P63">
        <f t="shared" si="8"/>
        <v>70.54</v>
      </c>
      <c r="Q63">
        <f t="shared" si="9"/>
        <v>21.89</v>
      </c>
      <c r="R63">
        <f t="shared" si="10"/>
        <v>3.62</v>
      </c>
      <c r="S63">
        <f t="shared" si="11"/>
        <v>183.54</v>
      </c>
      <c r="T63">
        <f t="shared" si="12"/>
        <v>0</v>
      </c>
      <c r="U63">
        <f t="shared" si="13"/>
        <v>1.122384</v>
      </c>
      <c r="V63">
        <f t="shared" si="14"/>
        <v>0</v>
      </c>
      <c r="W63">
        <f t="shared" si="15"/>
        <v>0</v>
      </c>
      <c r="X63">
        <f t="shared" si="16"/>
        <v>176.2</v>
      </c>
      <c r="Y63">
        <f t="shared" si="17"/>
        <v>77.09</v>
      </c>
      <c r="AA63">
        <v>0</v>
      </c>
      <c r="AB63">
        <f t="shared" si="18"/>
        <v>32.806</v>
      </c>
      <c r="AC63">
        <f t="shared" si="19"/>
        <v>15.47</v>
      </c>
      <c r="AD63">
        <f>((((ET63*0.8))-((EU63*0.8)))+AE63)</f>
        <v>3.944</v>
      </c>
      <c r="AE63">
        <f>((EU63*0.8))</f>
        <v>0.264</v>
      </c>
      <c r="AF63">
        <f>((EV63*0.8))</f>
        <v>13.392</v>
      </c>
      <c r="AG63">
        <f t="shared" si="23"/>
        <v>0</v>
      </c>
      <c r="AH63">
        <f>((EW63*0.8))</f>
        <v>1.072</v>
      </c>
      <c r="AI63">
        <f>((EX63*0.8))</f>
        <v>0</v>
      </c>
      <c r="AJ63">
        <f t="shared" si="26"/>
        <v>0</v>
      </c>
      <c r="AK63">
        <v>37.14</v>
      </c>
      <c r="AL63">
        <v>15.47</v>
      </c>
      <c r="AM63">
        <v>4.93</v>
      </c>
      <c r="AN63">
        <v>0.33</v>
      </c>
      <c r="AO63">
        <v>16.74</v>
      </c>
      <c r="AP63">
        <v>0</v>
      </c>
      <c r="AQ63">
        <v>1.34</v>
      </c>
      <c r="AR63">
        <v>0</v>
      </c>
      <c r="AS63">
        <v>0</v>
      </c>
      <c r="AT63">
        <v>96</v>
      </c>
      <c r="AU63">
        <v>42</v>
      </c>
      <c r="AV63">
        <v>1.047</v>
      </c>
      <c r="AW63">
        <v>1</v>
      </c>
      <c r="AX63">
        <v>8.208292649360509</v>
      </c>
      <c r="AY63">
        <v>13.09</v>
      </c>
      <c r="AZ63">
        <v>13.09</v>
      </c>
      <c r="BA63">
        <v>13.09</v>
      </c>
      <c r="BB63">
        <v>5.3</v>
      </c>
      <c r="BC63">
        <v>4.56</v>
      </c>
      <c r="BH63">
        <v>0</v>
      </c>
      <c r="BI63">
        <v>2</v>
      </c>
      <c r="BJ63" t="s">
        <v>135</v>
      </c>
      <c r="BM63">
        <v>333</v>
      </c>
      <c r="BN63">
        <v>0</v>
      </c>
      <c r="BO63" t="s">
        <v>133</v>
      </c>
      <c r="BP63">
        <v>1</v>
      </c>
      <c r="BQ63">
        <v>40</v>
      </c>
      <c r="BR63">
        <v>0</v>
      </c>
      <c r="BS63">
        <v>13.09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96</v>
      </c>
      <c r="CA63">
        <v>42</v>
      </c>
      <c r="CF63">
        <v>0</v>
      </c>
      <c r="CG63">
        <v>0</v>
      </c>
      <c r="CM63">
        <v>0</v>
      </c>
      <c r="CO63">
        <v>0</v>
      </c>
      <c r="CP63">
        <f t="shared" si="27"/>
        <v>275.97</v>
      </c>
      <c r="CQ63">
        <f t="shared" si="28"/>
        <v>70.5432</v>
      </c>
      <c r="CR63">
        <f t="shared" si="29"/>
        <v>21.885650399999996</v>
      </c>
      <c r="CS63">
        <f t="shared" si="30"/>
        <v>3.61818072</v>
      </c>
      <c r="CT63">
        <f t="shared" si="31"/>
        <v>183.54044015999997</v>
      </c>
      <c r="CU63">
        <f t="shared" si="32"/>
        <v>0</v>
      </c>
      <c r="CV63">
        <f t="shared" si="33"/>
        <v>1.122384</v>
      </c>
      <c r="CW63">
        <f t="shared" si="34"/>
        <v>0</v>
      </c>
      <c r="CX63">
        <f t="shared" si="35"/>
        <v>0</v>
      </c>
      <c r="CY63">
        <f t="shared" si="36"/>
        <v>176.1984</v>
      </c>
      <c r="CZ63">
        <f t="shared" si="37"/>
        <v>77.0868</v>
      </c>
      <c r="DE63" t="s">
        <v>136</v>
      </c>
      <c r="DF63" t="s">
        <v>136</v>
      </c>
      <c r="DG63" t="s">
        <v>136</v>
      </c>
      <c r="DI63" t="s">
        <v>136</v>
      </c>
      <c r="DJ63" t="s">
        <v>136</v>
      </c>
      <c r="DN63">
        <v>112</v>
      </c>
      <c r="DO63">
        <v>70</v>
      </c>
      <c r="DP63">
        <v>1.047</v>
      </c>
      <c r="DQ63">
        <v>1</v>
      </c>
      <c r="DR63">
        <v>4.56</v>
      </c>
      <c r="DS63">
        <v>8.208292649360509</v>
      </c>
      <c r="DT63">
        <v>13.09</v>
      </c>
      <c r="DU63">
        <v>1010</v>
      </c>
      <c r="DV63" t="s">
        <v>22</v>
      </c>
      <c r="DW63" t="s">
        <v>22</v>
      </c>
      <c r="DX63">
        <v>1</v>
      </c>
      <c r="EE63">
        <v>18683887</v>
      </c>
      <c r="EF63">
        <v>40</v>
      </c>
      <c r="EG63" t="s">
        <v>27</v>
      </c>
      <c r="EH63">
        <v>0</v>
      </c>
      <c r="EJ63">
        <v>2</v>
      </c>
      <c r="EK63">
        <v>333</v>
      </c>
      <c r="EL63" t="s">
        <v>28</v>
      </c>
      <c r="EM63" t="s">
        <v>29</v>
      </c>
      <c r="EQ63">
        <v>0</v>
      </c>
      <c r="ER63">
        <v>37.14</v>
      </c>
      <c r="ES63">
        <v>15.47</v>
      </c>
      <c r="ET63">
        <v>4.93</v>
      </c>
      <c r="EU63">
        <v>0.33</v>
      </c>
      <c r="EV63">
        <v>16.74</v>
      </c>
      <c r="EW63">
        <v>1.34</v>
      </c>
      <c r="EX63">
        <v>0</v>
      </c>
      <c r="EY63">
        <v>0</v>
      </c>
      <c r="EZ63">
        <v>0</v>
      </c>
      <c r="FQ63">
        <v>0</v>
      </c>
      <c r="FR63">
        <f t="shared" si="38"/>
        <v>0</v>
      </c>
      <c r="FS63">
        <v>0</v>
      </c>
      <c r="FX63">
        <v>96</v>
      </c>
      <c r="FY63">
        <v>42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</row>
    <row r="64" spans="1:194" ht="12.75">
      <c r="A64">
        <v>17</v>
      </c>
      <c r="B64">
        <v>1</v>
      </c>
      <c r="E64" t="s">
        <v>137</v>
      </c>
      <c r="F64" t="s">
        <v>138</v>
      </c>
      <c r="G64" t="s">
        <v>139</v>
      </c>
      <c r="H64" t="s">
        <v>84</v>
      </c>
      <c r="I64">
        <v>0.17</v>
      </c>
      <c r="J64">
        <v>0</v>
      </c>
      <c r="O64">
        <f t="shared" si="7"/>
        <v>794.06</v>
      </c>
      <c r="P64">
        <f t="shared" si="8"/>
        <v>92.25</v>
      </c>
      <c r="Q64">
        <f t="shared" si="9"/>
        <v>107.15</v>
      </c>
      <c r="R64">
        <f t="shared" si="10"/>
        <v>20.01</v>
      </c>
      <c r="S64">
        <f t="shared" si="11"/>
        <v>594.66</v>
      </c>
      <c r="T64">
        <f t="shared" si="12"/>
        <v>0</v>
      </c>
      <c r="U64">
        <f t="shared" si="13"/>
        <v>3.684393</v>
      </c>
      <c r="V64">
        <f t="shared" si="14"/>
        <v>0</v>
      </c>
      <c r="W64">
        <f t="shared" si="15"/>
        <v>0</v>
      </c>
      <c r="X64">
        <f t="shared" si="16"/>
        <v>570.87</v>
      </c>
      <c r="Y64">
        <f t="shared" si="17"/>
        <v>249.76</v>
      </c>
      <c r="AA64">
        <v>0</v>
      </c>
      <c r="AB64">
        <f t="shared" si="18"/>
        <v>490.45</v>
      </c>
      <c r="AC64">
        <f t="shared" si="19"/>
        <v>119</v>
      </c>
      <c r="AD64">
        <f aca="true" t="shared" si="39" ref="AD64:AD72">(((ET64)-(EU64))+AE64)</f>
        <v>116.22</v>
      </c>
      <c r="AE64">
        <f aca="true" t="shared" si="40" ref="AE64:AE72">(EU64)</f>
        <v>8.59</v>
      </c>
      <c r="AF64">
        <f aca="true" t="shared" si="41" ref="AF64:AF72">(EV64)</f>
        <v>255.23</v>
      </c>
      <c r="AG64">
        <f t="shared" si="23"/>
        <v>0</v>
      </c>
      <c r="AH64">
        <f aca="true" t="shared" si="42" ref="AH64:AH72">(EW64)</f>
        <v>20.7</v>
      </c>
      <c r="AI64">
        <f aca="true" t="shared" si="43" ref="AI64:AI72">(EX64)</f>
        <v>0</v>
      </c>
      <c r="AJ64">
        <f t="shared" si="26"/>
        <v>0</v>
      </c>
      <c r="AK64">
        <v>490.45</v>
      </c>
      <c r="AL64">
        <v>119</v>
      </c>
      <c r="AM64">
        <v>116.22</v>
      </c>
      <c r="AN64">
        <v>8.59</v>
      </c>
      <c r="AO64">
        <v>255.23</v>
      </c>
      <c r="AP64">
        <v>0</v>
      </c>
      <c r="AQ64">
        <v>20.7</v>
      </c>
      <c r="AR64">
        <v>0</v>
      </c>
      <c r="AS64">
        <v>0</v>
      </c>
      <c r="AT64">
        <v>96</v>
      </c>
      <c r="AU64">
        <v>42</v>
      </c>
      <c r="AV64">
        <v>1.047</v>
      </c>
      <c r="AW64">
        <v>1</v>
      </c>
      <c r="AX64">
        <v>9.19645259748111</v>
      </c>
      <c r="AY64">
        <v>13.09</v>
      </c>
      <c r="AZ64">
        <v>13.09</v>
      </c>
      <c r="BA64">
        <v>13.09</v>
      </c>
      <c r="BB64">
        <v>5.18</v>
      </c>
      <c r="BC64">
        <v>4.56</v>
      </c>
      <c r="BH64">
        <v>0</v>
      </c>
      <c r="BI64">
        <v>2</v>
      </c>
      <c r="BJ64" t="s">
        <v>140</v>
      </c>
      <c r="BM64">
        <v>331</v>
      </c>
      <c r="BN64">
        <v>0</v>
      </c>
      <c r="BO64" t="s">
        <v>138</v>
      </c>
      <c r="BP64">
        <v>1</v>
      </c>
      <c r="BQ64">
        <v>40</v>
      </c>
      <c r="BR64">
        <v>0</v>
      </c>
      <c r="BS64">
        <v>13.09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96</v>
      </c>
      <c r="CA64">
        <v>42</v>
      </c>
      <c r="CF64">
        <v>0</v>
      </c>
      <c r="CG64">
        <v>0</v>
      </c>
      <c r="CM64">
        <v>0</v>
      </c>
      <c r="CO64">
        <v>0</v>
      </c>
      <c r="CP64">
        <f t="shared" si="27"/>
        <v>794.06</v>
      </c>
      <c r="CQ64">
        <f t="shared" si="28"/>
        <v>542.64</v>
      </c>
      <c r="CR64">
        <f t="shared" si="29"/>
        <v>630.3145212</v>
      </c>
      <c r="CS64">
        <f t="shared" si="30"/>
        <v>117.72792569999999</v>
      </c>
      <c r="CT64">
        <f t="shared" si="31"/>
        <v>3497.9858528999994</v>
      </c>
      <c r="CU64">
        <f t="shared" si="32"/>
        <v>0</v>
      </c>
      <c r="CV64">
        <f t="shared" si="33"/>
        <v>21.6729</v>
      </c>
      <c r="CW64">
        <f t="shared" si="34"/>
        <v>0</v>
      </c>
      <c r="CX64">
        <f t="shared" si="35"/>
        <v>0</v>
      </c>
      <c r="CY64">
        <f t="shared" si="36"/>
        <v>570.8735999999999</v>
      </c>
      <c r="CZ64">
        <f t="shared" si="37"/>
        <v>249.75719999999998</v>
      </c>
      <c r="DN64">
        <v>112</v>
      </c>
      <c r="DO64">
        <v>70</v>
      </c>
      <c r="DP64">
        <v>1.047</v>
      </c>
      <c r="DQ64">
        <v>1</v>
      </c>
      <c r="DR64">
        <v>4.56</v>
      </c>
      <c r="DS64">
        <v>9.19645259748111</v>
      </c>
      <c r="DT64">
        <v>13.09</v>
      </c>
      <c r="DU64">
        <v>1003</v>
      </c>
      <c r="DV64" t="s">
        <v>84</v>
      </c>
      <c r="DW64" t="s">
        <v>84</v>
      </c>
      <c r="DX64">
        <v>100</v>
      </c>
      <c r="EE64">
        <v>18683885</v>
      </c>
      <c r="EF64">
        <v>40</v>
      </c>
      <c r="EG64" t="s">
        <v>27</v>
      </c>
      <c r="EH64">
        <v>0</v>
      </c>
      <c r="EJ64">
        <v>2</v>
      </c>
      <c r="EK64">
        <v>331</v>
      </c>
      <c r="EL64" t="s">
        <v>141</v>
      </c>
      <c r="EM64" t="s">
        <v>142</v>
      </c>
      <c r="EQ64">
        <v>0</v>
      </c>
      <c r="ER64">
        <v>490.45</v>
      </c>
      <c r="ES64">
        <v>119</v>
      </c>
      <c r="ET64">
        <v>116.22</v>
      </c>
      <c r="EU64">
        <v>8.59</v>
      </c>
      <c r="EV64">
        <v>255.23</v>
      </c>
      <c r="EW64">
        <v>20.7</v>
      </c>
      <c r="EX64">
        <v>0</v>
      </c>
      <c r="EY64">
        <v>0</v>
      </c>
      <c r="EZ64">
        <v>0</v>
      </c>
      <c r="FQ64">
        <v>0</v>
      </c>
      <c r="FR64">
        <f t="shared" si="38"/>
        <v>0</v>
      </c>
      <c r="FS64">
        <v>0</v>
      </c>
      <c r="FX64">
        <v>96</v>
      </c>
      <c r="FY64">
        <v>42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</row>
    <row r="65" spans="1:194" ht="12.75">
      <c r="A65">
        <v>17</v>
      </c>
      <c r="B65">
        <v>1</v>
      </c>
      <c r="E65" t="s">
        <v>143</v>
      </c>
      <c r="F65" t="s">
        <v>144</v>
      </c>
      <c r="G65" t="s">
        <v>145</v>
      </c>
      <c r="H65" t="s">
        <v>84</v>
      </c>
      <c r="I65">
        <v>0.08</v>
      </c>
      <c r="J65">
        <v>0</v>
      </c>
      <c r="O65">
        <f t="shared" si="7"/>
        <v>88.08</v>
      </c>
      <c r="P65">
        <f t="shared" si="8"/>
        <v>3.44</v>
      </c>
      <c r="Q65">
        <f t="shared" si="9"/>
        <v>1.09</v>
      </c>
      <c r="R65">
        <f t="shared" si="10"/>
        <v>0.43</v>
      </c>
      <c r="S65">
        <f t="shared" si="11"/>
        <v>83.55</v>
      </c>
      <c r="T65">
        <f t="shared" si="12"/>
        <v>0</v>
      </c>
      <c r="U65">
        <f t="shared" si="13"/>
        <v>0.5176367999999999</v>
      </c>
      <c r="V65">
        <f t="shared" si="14"/>
        <v>0</v>
      </c>
      <c r="W65">
        <f t="shared" si="15"/>
        <v>0</v>
      </c>
      <c r="X65">
        <f t="shared" si="16"/>
        <v>80.21</v>
      </c>
      <c r="Y65">
        <f t="shared" si="17"/>
        <v>35.09</v>
      </c>
      <c r="AA65">
        <v>0</v>
      </c>
      <c r="AB65">
        <f t="shared" si="18"/>
        <v>87.83</v>
      </c>
      <c r="AC65">
        <f t="shared" si="19"/>
        <v>9.94</v>
      </c>
      <c r="AD65">
        <f t="shared" si="39"/>
        <v>1.69</v>
      </c>
      <c r="AE65">
        <f t="shared" si="40"/>
        <v>0.39</v>
      </c>
      <c r="AF65">
        <f t="shared" si="41"/>
        <v>76.2</v>
      </c>
      <c r="AG65">
        <f t="shared" si="23"/>
        <v>0</v>
      </c>
      <c r="AH65">
        <f t="shared" si="42"/>
        <v>6.18</v>
      </c>
      <c r="AI65">
        <f t="shared" si="43"/>
        <v>0</v>
      </c>
      <c r="AJ65">
        <f t="shared" si="26"/>
        <v>0</v>
      </c>
      <c r="AK65">
        <v>87.83</v>
      </c>
      <c r="AL65">
        <v>9.94</v>
      </c>
      <c r="AM65">
        <v>1.69</v>
      </c>
      <c r="AN65">
        <v>0.39</v>
      </c>
      <c r="AO65">
        <v>76.2</v>
      </c>
      <c r="AP65">
        <v>0</v>
      </c>
      <c r="AQ65">
        <v>6.18</v>
      </c>
      <c r="AR65">
        <v>0</v>
      </c>
      <c r="AS65">
        <v>0</v>
      </c>
      <c r="AT65">
        <v>96</v>
      </c>
      <c r="AU65">
        <v>42</v>
      </c>
      <c r="AV65">
        <v>1.047</v>
      </c>
      <c r="AW65">
        <v>1</v>
      </c>
      <c r="AX65">
        <v>12.031211829049894</v>
      </c>
      <c r="AY65">
        <v>13.09</v>
      </c>
      <c r="AZ65">
        <v>13.09</v>
      </c>
      <c r="BA65">
        <v>13.09</v>
      </c>
      <c r="BB65">
        <v>7.68</v>
      </c>
      <c r="BC65">
        <v>4.32</v>
      </c>
      <c r="BH65">
        <v>0</v>
      </c>
      <c r="BI65">
        <v>2</v>
      </c>
      <c r="BJ65" t="s">
        <v>146</v>
      </c>
      <c r="BM65">
        <v>331</v>
      </c>
      <c r="BN65">
        <v>0</v>
      </c>
      <c r="BO65" t="s">
        <v>144</v>
      </c>
      <c r="BP65">
        <v>1</v>
      </c>
      <c r="BQ65">
        <v>40</v>
      </c>
      <c r="BR65">
        <v>0</v>
      </c>
      <c r="BS65">
        <v>13.09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96</v>
      </c>
      <c r="CA65">
        <v>42</v>
      </c>
      <c r="CF65">
        <v>0</v>
      </c>
      <c r="CG65">
        <v>0</v>
      </c>
      <c r="CM65">
        <v>0</v>
      </c>
      <c r="CO65">
        <v>0</v>
      </c>
      <c r="CP65">
        <f t="shared" si="27"/>
        <v>88.08</v>
      </c>
      <c r="CQ65">
        <f t="shared" si="28"/>
        <v>42.9408</v>
      </c>
      <c r="CR65">
        <f t="shared" si="29"/>
        <v>13.589222399999999</v>
      </c>
      <c r="CS65">
        <f t="shared" si="30"/>
        <v>5.345039699999999</v>
      </c>
      <c r="CT65">
        <f t="shared" si="31"/>
        <v>1044.3385259999998</v>
      </c>
      <c r="CU65">
        <f t="shared" si="32"/>
        <v>0</v>
      </c>
      <c r="CV65">
        <f t="shared" si="33"/>
        <v>6.470459999999999</v>
      </c>
      <c r="CW65">
        <f t="shared" si="34"/>
        <v>0</v>
      </c>
      <c r="CX65">
        <f t="shared" si="35"/>
        <v>0</v>
      </c>
      <c r="CY65">
        <f t="shared" si="36"/>
        <v>80.208</v>
      </c>
      <c r="CZ65">
        <f t="shared" si="37"/>
        <v>35.090999999999994</v>
      </c>
      <c r="DN65">
        <v>112</v>
      </c>
      <c r="DO65">
        <v>70</v>
      </c>
      <c r="DP65">
        <v>1.047</v>
      </c>
      <c r="DQ65">
        <v>1</v>
      </c>
      <c r="DR65">
        <v>4.32</v>
      </c>
      <c r="DS65">
        <v>12.031211829049894</v>
      </c>
      <c r="DT65">
        <v>13.09</v>
      </c>
      <c r="DU65">
        <v>1003</v>
      </c>
      <c r="DV65" t="s">
        <v>84</v>
      </c>
      <c r="DW65" t="s">
        <v>84</v>
      </c>
      <c r="DX65">
        <v>100</v>
      </c>
      <c r="EE65">
        <v>18683885</v>
      </c>
      <c r="EF65">
        <v>40</v>
      </c>
      <c r="EG65" t="s">
        <v>27</v>
      </c>
      <c r="EH65">
        <v>0</v>
      </c>
      <c r="EJ65">
        <v>2</v>
      </c>
      <c r="EK65">
        <v>331</v>
      </c>
      <c r="EL65" t="s">
        <v>141</v>
      </c>
      <c r="EM65" t="s">
        <v>142</v>
      </c>
      <c r="EQ65">
        <v>0</v>
      </c>
      <c r="ER65">
        <v>87.83</v>
      </c>
      <c r="ES65">
        <v>9.94</v>
      </c>
      <c r="ET65">
        <v>1.69</v>
      </c>
      <c r="EU65">
        <v>0.39</v>
      </c>
      <c r="EV65">
        <v>76.2</v>
      </c>
      <c r="EW65">
        <v>6.18</v>
      </c>
      <c r="EX65">
        <v>0</v>
      </c>
      <c r="EY65">
        <v>0</v>
      </c>
      <c r="EZ65">
        <v>0</v>
      </c>
      <c r="FQ65">
        <v>0</v>
      </c>
      <c r="FR65">
        <f t="shared" si="38"/>
        <v>0</v>
      </c>
      <c r="FS65">
        <v>0</v>
      </c>
      <c r="FX65">
        <v>96</v>
      </c>
      <c r="FY65">
        <v>42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</row>
    <row r="66" spans="1:194" ht="12.75">
      <c r="A66">
        <v>17</v>
      </c>
      <c r="B66">
        <v>1</v>
      </c>
      <c r="E66" t="s">
        <v>147</v>
      </c>
      <c r="F66" t="s">
        <v>148</v>
      </c>
      <c r="G66" t="s">
        <v>149</v>
      </c>
      <c r="H66" t="s">
        <v>84</v>
      </c>
      <c r="I66">
        <f>0.03+0.05+0.03+0.05</f>
        <v>0.16</v>
      </c>
      <c r="J66">
        <v>0</v>
      </c>
      <c r="O66">
        <f t="shared" si="7"/>
        <v>363.15</v>
      </c>
      <c r="P66">
        <f t="shared" si="8"/>
        <v>27.71</v>
      </c>
      <c r="Q66">
        <f t="shared" si="9"/>
        <v>40.61</v>
      </c>
      <c r="R66">
        <f t="shared" si="10"/>
        <v>15.89</v>
      </c>
      <c r="S66">
        <f t="shared" si="11"/>
        <v>294.83</v>
      </c>
      <c r="T66">
        <f t="shared" si="12"/>
        <v>0</v>
      </c>
      <c r="U66">
        <f t="shared" si="13"/>
        <v>1.8267039999999997</v>
      </c>
      <c r="V66">
        <f t="shared" si="14"/>
        <v>0</v>
      </c>
      <c r="W66">
        <f t="shared" si="15"/>
        <v>0</v>
      </c>
      <c r="X66">
        <f t="shared" si="16"/>
        <v>283.04</v>
      </c>
      <c r="Y66">
        <f t="shared" si="17"/>
        <v>123.83</v>
      </c>
      <c r="AA66">
        <v>0</v>
      </c>
      <c r="AB66">
        <f t="shared" si="18"/>
        <v>198.7</v>
      </c>
      <c r="AC66">
        <f t="shared" si="19"/>
        <v>35.14</v>
      </c>
      <c r="AD66">
        <f t="shared" si="39"/>
        <v>31.63</v>
      </c>
      <c r="AE66">
        <f t="shared" si="40"/>
        <v>7.11</v>
      </c>
      <c r="AF66">
        <f t="shared" si="41"/>
        <v>131.93</v>
      </c>
      <c r="AG66">
        <f t="shared" si="23"/>
        <v>0</v>
      </c>
      <c r="AH66">
        <f t="shared" si="42"/>
        <v>10.7</v>
      </c>
      <c r="AI66">
        <f t="shared" si="43"/>
        <v>0</v>
      </c>
      <c r="AJ66">
        <f t="shared" si="26"/>
        <v>0</v>
      </c>
      <c r="AK66">
        <v>198.7</v>
      </c>
      <c r="AL66">
        <v>35.14</v>
      </c>
      <c r="AM66">
        <v>31.63</v>
      </c>
      <c r="AN66">
        <v>7.11</v>
      </c>
      <c r="AO66">
        <v>131.93</v>
      </c>
      <c r="AP66">
        <v>0</v>
      </c>
      <c r="AQ66">
        <v>10.7</v>
      </c>
      <c r="AR66">
        <v>0</v>
      </c>
      <c r="AS66">
        <v>0</v>
      </c>
      <c r="AT66">
        <v>96</v>
      </c>
      <c r="AU66">
        <v>42</v>
      </c>
      <c r="AV66">
        <v>1.067</v>
      </c>
      <c r="AW66">
        <v>1.081</v>
      </c>
      <c r="AX66">
        <v>10.68078164806229</v>
      </c>
      <c r="AY66">
        <v>13.09</v>
      </c>
      <c r="AZ66">
        <v>13.09</v>
      </c>
      <c r="BA66">
        <v>13.09</v>
      </c>
      <c r="BB66">
        <v>7.52</v>
      </c>
      <c r="BC66">
        <v>4.56</v>
      </c>
      <c r="BH66">
        <v>0</v>
      </c>
      <c r="BI66">
        <v>2</v>
      </c>
      <c r="BJ66" t="s">
        <v>150</v>
      </c>
      <c r="BM66">
        <v>318</v>
      </c>
      <c r="BN66">
        <v>0</v>
      </c>
      <c r="BO66" t="s">
        <v>148</v>
      </c>
      <c r="BP66">
        <v>1</v>
      </c>
      <c r="BQ66">
        <v>40</v>
      </c>
      <c r="BR66">
        <v>0</v>
      </c>
      <c r="BS66">
        <v>13.09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96</v>
      </c>
      <c r="CA66">
        <v>42</v>
      </c>
      <c r="CF66">
        <v>0</v>
      </c>
      <c r="CG66">
        <v>0</v>
      </c>
      <c r="CM66">
        <v>0</v>
      </c>
      <c r="CO66">
        <v>0</v>
      </c>
      <c r="CP66">
        <f t="shared" si="27"/>
        <v>363.15</v>
      </c>
      <c r="CQ66">
        <f t="shared" si="28"/>
        <v>173.2177104</v>
      </c>
      <c r="CR66">
        <f t="shared" si="29"/>
        <v>253.79405919999996</v>
      </c>
      <c r="CS66">
        <f t="shared" si="30"/>
        <v>99.3055833</v>
      </c>
      <c r="CT66">
        <f t="shared" si="31"/>
        <v>1842.6702678999998</v>
      </c>
      <c r="CU66">
        <f t="shared" si="32"/>
        <v>0</v>
      </c>
      <c r="CV66">
        <f t="shared" si="33"/>
        <v>11.416899999999998</v>
      </c>
      <c r="CW66">
        <f t="shared" si="34"/>
        <v>0</v>
      </c>
      <c r="CX66">
        <f t="shared" si="35"/>
        <v>0</v>
      </c>
      <c r="CY66">
        <f t="shared" si="36"/>
        <v>283.03679999999997</v>
      </c>
      <c r="CZ66">
        <f t="shared" si="37"/>
        <v>123.8286</v>
      </c>
      <c r="DN66">
        <v>112</v>
      </c>
      <c r="DO66">
        <v>70</v>
      </c>
      <c r="DP66">
        <v>1.067</v>
      </c>
      <c r="DQ66">
        <v>1.081</v>
      </c>
      <c r="DR66">
        <v>4.56</v>
      </c>
      <c r="DS66">
        <v>10.68078164806229</v>
      </c>
      <c r="DT66">
        <v>13.09</v>
      </c>
      <c r="DU66">
        <v>1003</v>
      </c>
      <c r="DV66" t="s">
        <v>84</v>
      </c>
      <c r="DW66" t="s">
        <v>84</v>
      </c>
      <c r="DX66">
        <v>100</v>
      </c>
      <c r="EE66">
        <v>18683872</v>
      </c>
      <c r="EF66">
        <v>40</v>
      </c>
      <c r="EG66" t="s">
        <v>27</v>
      </c>
      <c r="EH66">
        <v>0</v>
      </c>
      <c r="EJ66">
        <v>2</v>
      </c>
      <c r="EK66">
        <v>318</v>
      </c>
      <c r="EL66" t="s">
        <v>151</v>
      </c>
      <c r="EM66" t="s">
        <v>152</v>
      </c>
      <c r="EQ66">
        <v>0</v>
      </c>
      <c r="ER66">
        <v>198.7</v>
      </c>
      <c r="ES66">
        <v>35.14</v>
      </c>
      <c r="ET66">
        <v>31.63</v>
      </c>
      <c r="EU66">
        <v>7.11</v>
      </c>
      <c r="EV66">
        <v>131.93</v>
      </c>
      <c r="EW66">
        <v>10.7</v>
      </c>
      <c r="EX66">
        <v>0</v>
      </c>
      <c r="EY66">
        <v>0</v>
      </c>
      <c r="EZ66">
        <v>0</v>
      </c>
      <c r="FQ66">
        <v>0</v>
      </c>
      <c r="FR66">
        <f t="shared" si="38"/>
        <v>0</v>
      </c>
      <c r="FS66">
        <v>0</v>
      </c>
      <c r="FX66">
        <v>96</v>
      </c>
      <c r="FY66">
        <v>42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</row>
    <row r="67" spans="1:194" ht="12.75">
      <c r="A67">
        <v>17</v>
      </c>
      <c r="B67">
        <v>1</v>
      </c>
      <c r="E67" t="s">
        <v>153</v>
      </c>
      <c r="F67" t="s">
        <v>154</v>
      </c>
      <c r="G67" t="s">
        <v>155</v>
      </c>
      <c r="H67" t="s">
        <v>84</v>
      </c>
      <c r="I67">
        <v>0.89</v>
      </c>
      <c r="J67">
        <v>0</v>
      </c>
      <c r="O67">
        <f t="shared" si="7"/>
        <v>4009.65</v>
      </c>
      <c r="P67">
        <f t="shared" si="8"/>
        <v>165.22</v>
      </c>
      <c r="Q67">
        <f t="shared" si="9"/>
        <v>1514.68</v>
      </c>
      <c r="R67">
        <f t="shared" si="10"/>
        <v>821.42</v>
      </c>
      <c r="S67">
        <f t="shared" si="11"/>
        <v>2329.75</v>
      </c>
      <c r="T67">
        <f t="shared" si="12"/>
        <v>0</v>
      </c>
      <c r="U67">
        <f t="shared" si="13"/>
        <v>14.434375999999999</v>
      </c>
      <c r="V67">
        <f t="shared" si="14"/>
        <v>0</v>
      </c>
      <c r="W67">
        <f t="shared" si="15"/>
        <v>0</v>
      </c>
      <c r="X67">
        <f t="shared" si="16"/>
        <v>2236.56</v>
      </c>
      <c r="Y67">
        <f t="shared" si="17"/>
        <v>978.5</v>
      </c>
      <c r="AA67">
        <v>0</v>
      </c>
      <c r="AB67">
        <f t="shared" si="18"/>
        <v>643.7199999999999</v>
      </c>
      <c r="AC67">
        <f t="shared" si="19"/>
        <v>37.66</v>
      </c>
      <c r="AD67">
        <f t="shared" si="39"/>
        <v>418.64</v>
      </c>
      <c r="AE67">
        <f t="shared" si="40"/>
        <v>66.08</v>
      </c>
      <c r="AF67">
        <f t="shared" si="41"/>
        <v>187.42</v>
      </c>
      <c r="AG67">
        <f t="shared" si="23"/>
        <v>0</v>
      </c>
      <c r="AH67">
        <f t="shared" si="42"/>
        <v>15.2</v>
      </c>
      <c r="AI67">
        <f t="shared" si="43"/>
        <v>0</v>
      </c>
      <c r="AJ67">
        <f t="shared" si="26"/>
        <v>0</v>
      </c>
      <c r="AK67">
        <v>643.72</v>
      </c>
      <c r="AL67">
        <v>37.66</v>
      </c>
      <c r="AM67">
        <v>418.64</v>
      </c>
      <c r="AN67">
        <v>66.08</v>
      </c>
      <c r="AO67">
        <v>187.42</v>
      </c>
      <c r="AP67">
        <v>0</v>
      </c>
      <c r="AQ67">
        <v>15.2</v>
      </c>
      <c r="AR67">
        <v>0</v>
      </c>
      <c r="AS67">
        <v>0</v>
      </c>
      <c r="AT67">
        <v>96</v>
      </c>
      <c r="AU67">
        <v>42</v>
      </c>
      <c r="AV67">
        <v>1.067</v>
      </c>
      <c r="AW67">
        <v>1.081</v>
      </c>
      <c r="AX67">
        <v>6.5542310656905585</v>
      </c>
      <c r="AY67">
        <v>13.09</v>
      </c>
      <c r="AZ67">
        <v>13.09</v>
      </c>
      <c r="BA67">
        <v>13.09</v>
      </c>
      <c r="BB67">
        <v>3.81</v>
      </c>
      <c r="BC67">
        <v>4.56</v>
      </c>
      <c r="BH67">
        <v>0</v>
      </c>
      <c r="BI67">
        <v>2</v>
      </c>
      <c r="BJ67" t="s">
        <v>156</v>
      </c>
      <c r="BM67">
        <v>318</v>
      </c>
      <c r="BN67">
        <v>0</v>
      </c>
      <c r="BO67" t="s">
        <v>154</v>
      </c>
      <c r="BP67">
        <v>1</v>
      </c>
      <c r="BQ67">
        <v>40</v>
      </c>
      <c r="BR67">
        <v>0</v>
      </c>
      <c r="BS67">
        <v>13.09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96</v>
      </c>
      <c r="CA67">
        <v>42</v>
      </c>
      <c r="CF67">
        <v>0</v>
      </c>
      <c r="CG67">
        <v>0</v>
      </c>
      <c r="CM67">
        <v>0</v>
      </c>
      <c r="CO67">
        <v>0</v>
      </c>
      <c r="CP67">
        <f t="shared" si="27"/>
        <v>4009.65</v>
      </c>
      <c r="CQ67">
        <f t="shared" si="28"/>
        <v>185.63969759999998</v>
      </c>
      <c r="CR67">
        <f t="shared" si="29"/>
        <v>1701.8846328</v>
      </c>
      <c r="CS67">
        <f t="shared" si="30"/>
        <v>922.9413423999998</v>
      </c>
      <c r="CT67">
        <f t="shared" si="31"/>
        <v>2617.7007625999995</v>
      </c>
      <c r="CU67">
        <f t="shared" si="32"/>
        <v>0</v>
      </c>
      <c r="CV67">
        <f t="shared" si="33"/>
        <v>16.2184</v>
      </c>
      <c r="CW67">
        <f t="shared" si="34"/>
        <v>0</v>
      </c>
      <c r="CX67">
        <f t="shared" si="35"/>
        <v>0</v>
      </c>
      <c r="CY67">
        <f t="shared" si="36"/>
        <v>2236.56</v>
      </c>
      <c r="CZ67">
        <f t="shared" si="37"/>
        <v>978.495</v>
      </c>
      <c r="DN67">
        <v>112</v>
      </c>
      <c r="DO67">
        <v>70</v>
      </c>
      <c r="DP67">
        <v>1.067</v>
      </c>
      <c r="DQ67">
        <v>1.081</v>
      </c>
      <c r="DR67">
        <v>4.56</v>
      </c>
      <c r="DS67">
        <v>6.5542310656905585</v>
      </c>
      <c r="DT67">
        <v>13.09</v>
      </c>
      <c r="DU67">
        <v>1003</v>
      </c>
      <c r="DV67" t="s">
        <v>84</v>
      </c>
      <c r="DW67" t="s">
        <v>84</v>
      </c>
      <c r="DX67">
        <v>100</v>
      </c>
      <c r="EE67">
        <v>18683872</v>
      </c>
      <c r="EF67">
        <v>40</v>
      </c>
      <c r="EG67" t="s">
        <v>27</v>
      </c>
      <c r="EH67">
        <v>0</v>
      </c>
      <c r="EJ67">
        <v>2</v>
      </c>
      <c r="EK67">
        <v>318</v>
      </c>
      <c r="EL67" t="s">
        <v>151</v>
      </c>
      <c r="EM67" t="s">
        <v>152</v>
      </c>
      <c r="EQ67">
        <v>0</v>
      </c>
      <c r="ER67">
        <v>643.72</v>
      </c>
      <c r="ES67">
        <v>37.66</v>
      </c>
      <c r="ET67">
        <v>418.64</v>
      </c>
      <c r="EU67">
        <v>66.08</v>
      </c>
      <c r="EV67">
        <v>187.42</v>
      </c>
      <c r="EW67">
        <v>15.2</v>
      </c>
      <c r="EX67">
        <v>0</v>
      </c>
      <c r="EY67">
        <v>0</v>
      </c>
      <c r="EZ67">
        <v>0</v>
      </c>
      <c r="FQ67">
        <v>0</v>
      </c>
      <c r="FR67">
        <f t="shared" si="38"/>
        <v>0</v>
      </c>
      <c r="FS67">
        <v>0</v>
      </c>
      <c r="FX67">
        <v>96</v>
      </c>
      <c r="FY67">
        <v>42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</row>
    <row r="68" spans="1:194" ht="12.75">
      <c r="A68">
        <v>17</v>
      </c>
      <c r="B68">
        <v>1</v>
      </c>
      <c r="E68" t="s">
        <v>157</v>
      </c>
      <c r="F68" t="s">
        <v>158</v>
      </c>
      <c r="G68" t="s">
        <v>159</v>
      </c>
      <c r="H68" t="s">
        <v>84</v>
      </c>
      <c r="I68">
        <v>0.89</v>
      </c>
      <c r="J68">
        <v>0</v>
      </c>
      <c r="O68">
        <f t="shared" si="7"/>
        <v>4618.93</v>
      </c>
      <c r="P68">
        <f t="shared" si="8"/>
        <v>22.42</v>
      </c>
      <c r="Q68">
        <f t="shared" si="9"/>
        <v>1857.79</v>
      </c>
      <c r="R68">
        <f t="shared" si="10"/>
        <v>867.54</v>
      </c>
      <c r="S68">
        <f t="shared" si="11"/>
        <v>2738.72</v>
      </c>
      <c r="T68">
        <f t="shared" si="12"/>
        <v>0</v>
      </c>
      <c r="U68">
        <f t="shared" si="13"/>
        <v>15.19408</v>
      </c>
      <c r="V68">
        <f t="shared" si="14"/>
        <v>0</v>
      </c>
      <c r="W68">
        <f t="shared" si="15"/>
        <v>0</v>
      </c>
      <c r="X68">
        <f t="shared" si="16"/>
        <v>2629.17</v>
      </c>
      <c r="Y68">
        <f t="shared" si="17"/>
        <v>1150.26</v>
      </c>
      <c r="AA68">
        <v>0</v>
      </c>
      <c r="AB68">
        <f t="shared" si="18"/>
        <v>580.48</v>
      </c>
      <c r="AC68">
        <f t="shared" si="19"/>
        <v>5.11</v>
      </c>
      <c r="AD68">
        <f t="shared" si="39"/>
        <v>355.05</v>
      </c>
      <c r="AE68">
        <f t="shared" si="40"/>
        <v>69.79</v>
      </c>
      <c r="AF68">
        <f t="shared" si="41"/>
        <v>220.32</v>
      </c>
      <c r="AG68">
        <f t="shared" si="23"/>
        <v>0</v>
      </c>
      <c r="AH68">
        <f t="shared" si="42"/>
        <v>16</v>
      </c>
      <c r="AI68">
        <f t="shared" si="43"/>
        <v>0</v>
      </c>
      <c r="AJ68">
        <f t="shared" si="26"/>
        <v>0</v>
      </c>
      <c r="AK68">
        <v>580.48</v>
      </c>
      <c r="AL68">
        <v>5.11</v>
      </c>
      <c r="AM68">
        <v>355.05</v>
      </c>
      <c r="AN68">
        <v>69.79</v>
      </c>
      <c r="AO68">
        <v>220.32</v>
      </c>
      <c r="AP68">
        <v>0</v>
      </c>
      <c r="AQ68">
        <v>16</v>
      </c>
      <c r="AR68">
        <v>0</v>
      </c>
      <c r="AS68">
        <v>0</v>
      </c>
      <c r="AT68">
        <v>96</v>
      </c>
      <c r="AU68">
        <v>42</v>
      </c>
      <c r="AV68">
        <v>1.067</v>
      </c>
      <c r="AW68">
        <v>1.081</v>
      </c>
      <c r="AX68">
        <v>8.378179814368174</v>
      </c>
      <c r="AY68">
        <v>13.09</v>
      </c>
      <c r="AZ68">
        <v>13.09</v>
      </c>
      <c r="BA68">
        <v>13.09</v>
      </c>
      <c r="BB68">
        <v>5.51</v>
      </c>
      <c r="BC68">
        <v>4.56</v>
      </c>
      <c r="BH68">
        <v>0</v>
      </c>
      <c r="BI68">
        <v>2</v>
      </c>
      <c r="BJ68" t="s">
        <v>160</v>
      </c>
      <c r="BM68">
        <v>341</v>
      </c>
      <c r="BN68">
        <v>0</v>
      </c>
      <c r="BO68" t="s">
        <v>158</v>
      </c>
      <c r="BP68">
        <v>1</v>
      </c>
      <c r="BQ68">
        <v>40</v>
      </c>
      <c r="BR68">
        <v>0</v>
      </c>
      <c r="BS68">
        <v>13.09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96</v>
      </c>
      <c r="CA68">
        <v>42</v>
      </c>
      <c r="CF68">
        <v>0</v>
      </c>
      <c r="CG68">
        <v>0</v>
      </c>
      <c r="CM68">
        <v>0</v>
      </c>
      <c r="CO68">
        <v>0</v>
      </c>
      <c r="CP68">
        <f t="shared" si="27"/>
        <v>4618.93</v>
      </c>
      <c r="CQ68">
        <f t="shared" si="28"/>
        <v>25.189029599999998</v>
      </c>
      <c r="CR68">
        <f t="shared" si="29"/>
        <v>2087.3993084999997</v>
      </c>
      <c r="CS68">
        <f t="shared" si="30"/>
        <v>974.7590237</v>
      </c>
      <c r="CT68">
        <f t="shared" si="31"/>
        <v>3077.2160495999997</v>
      </c>
      <c r="CU68">
        <f t="shared" si="32"/>
        <v>0</v>
      </c>
      <c r="CV68">
        <f t="shared" si="33"/>
        <v>17.072</v>
      </c>
      <c r="CW68">
        <f t="shared" si="34"/>
        <v>0</v>
      </c>
      <c r="CX68">
        <f t="shared" si="35"/>
        <v>0</v>
      </c>
      <c r="CY68">
        <f t="shared" si="36"/>
        <v>2629.1711999999998</v>
      </c>
      <c r="CZ68">
        <f t="shared" si="37"/>
        <v>1150.2623999999998</v>
      </c>
      <c r="DN68">
        <v>112</v>
      </c>
      <c r="DO68">
        <v>70</v>
      </c>
      <c r="DP68">
        <v>1.067</v>
      </c>
      <c r="DQ68">
        <v>1.081</v>
      </c>
      <c r="DR68">
        <v>4.56</v>
      </c>
      <c r="DS68">
        <v>8.378179814368174</v>
      </c>
      <c r="DT68">
        <v>13.09</v>
      </c>
      <c r="DU68">
        <v>1003</v>
      </c>
      <c r="DV68" t="s">
        <v>84</v>
      </c>
      <c r="DW68" t="s">
        <v>84</v>
      </c>
      <c r="DX68">
        <v>100</v>
      </c>
      <c r="EE68">
        <v>18683895</v>
      </c>
      <c r="EF68">
        <v>40</v>
      </c>
      <c r="EG68" t="s">
        <v>27</v>
      </c>
      <c r="EH68">
        <v>0</v>
      </c>
      <c r="EJ68">
        <v>2</v>
      </c>
      <c r="EK68">
        <v>341</v>
      </c>
      <c r="EL68" t="s">
        <v>161</v>
      </c>
      <c r="EM68" t="s">
        <v>162</v>
      </c>
      <c r="EQ68">
        <v>0</v>
      </c>
      <c r="ER68">
        <v>580.48</v>
      </c>
      <c r="ES68">
        <v>5.11</v>
      </c>
      <c r="ET68">
        <v>355.05</v>
      </c>
      <c r="EU68">
        <v>69.79</v>
      </c>
      <c r="EV68">
        <v>220.32</v>
      </c>
      <c r="EW68">
        <v>16</v>
      </c>
      <c r="EX68">
        <v>0</v>
      </c>
      <c r="EY68">
        <v>0</v>
      </c>
      <c r="EZ68">
        <v>0</v>
      </c>
      <c r="FQ68">
        <v>0</v>
      </c>
      <c r="FR68">
        <f t="shared" si="38"/>
        <v>0</v>
      </c>
      <c r="FS68">
        <v>0</v>
      </c>
      <c r="FX68">
        <v>96</v>
      </c>
      <c r="FY68">
        <v>42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</row>
    <row r="69" spans="1:194" ht="12.75">
      <c r="A69">
        <v>17</v>
      </c>
      <c r="B69">
        <v>1</v>
      </c>
      <c r="E69" t="s">
        <v>163</v>
      </c>
      <c r="F69" t="s">
        <v>164</v>
      </c>
      <c r="G69" t="s">
        <v>165</v>
      </c>
      <c r="H69" t="s">
        <v>22</v>
      </c>
      <c r="I69">
        <f>6+2</f>
        <v>8</v>
      </c>
      <c r="J69">
        <v>0</v>
      </c>
      <c r="O69">
        <f t="shared" si="7"/>
        <v>1713.04</v>
      </c>
      <c r="P69">
        <f t="shared" si="8"/>
        <v>158.32</v>
      </c>
      <c r="Q69">
        <f t="shared" si="9"/>
        <v>0</v>
      </c>
      <c r="R69">
        <f t="shared" si="10"/>
        <v>0</v>
      </c>
      <c r="S69">
        <f t="shared" si="11"/>
        <v>1554.72</v>
      </c>
      <c r="T69">
        <f t="shared" si="12"/>
        <v>0</v>
      </c>
      <c r="U69">
        <f t="shared" si="13"/>
        <v>9.632399999999999</v>
      </c>
      <c r="V69">
        <f t="shared" si="14"/>
        <v>0</v>
      </c>
      <c r="W69">
        <f t="shared" si="15"/>
        <v>0</v>
      </c>
      <c r="X69">
        <f t="shared" si="16"/>
        <v>1492.53</v>
      </c>
      <c r="Y69">
        <f t="shared" si="17"/>
        <v>652.98</v>
      </c>
      <c r="AA69">
        <v>0</v>
      </c>
      <c r="AB69">
        <f t="shared" si="18"/>
        <v>18.52</v>
      </c>
      <c r="AC69">
        <f t="shared" si="19"/>
        <v>4.34</v>
      </c>
      <c r="AD69">
        <f t="shared" si="39"/>
        <v>0</v>
      </c>
      <c r="AE69">
        <f t="shared" si="40"/>
        <v>0</v>
      </c>
      <c r="AF69">
        <f t="shared" si="41"/>
        <v>14.18</v>
      </c>
      <c r="AG69">
        <f t="shared" si="23"/>
        <v>0</v>
      </c>
      <c r="AH69">
        <f t="shared" si="42"/>
        <v>1.15</v>
      </c>
      <c r="AI69">
        <f t="shared" si="43"/>
        <v>0</v>
      </c>
      <c r="AJ69">
        <f t="shared" si="26"/>
        <v>0</v>
      </c>
      <c r="AK69">
        <v>18.52</v>
      </c>
      <c r="AL69">
        <v>4.34</v>
      </c>
      <c r="AM69">
        <v>0</v>
      </c>
      <c r="AN69">
        <v>0</v>
      </c>
      <c r="AO69">
        <v>14.18</v>
      </c>
      <c r="AP69">
        <v>0</v>
      </c>
      <c r="AQ69">
        <v>1.15</v>
      </c>
      <c r="AR69">
        <v>0</v>
      </c>
      <c r="AS69">
        <v>0</v>
      </c>
      <c r="AT69">
        <v>96</v>
      </c>
      <c r="AU69">
        <v>42</v>
      </c>
      <c r="AV69">
        <v>1.047</v>
      </c>
      <c r="AW69">
        <v>1</v>
      </c>
      <c r="AX69">
        <v>11.160532823862916</v>
      </c>
      <c r="AY69">
        <v>13.09</v>
      </c>
      <c r="AZ69">
        <v>13.09</v>
      </c>
      <c r="BA69">
        <v>13.09</v>
      </c>
      <c r="BB69">
        <v>1</v>
      </c>
      <c r="BC69">
        <v>4.56</v>
      </c>
      <c r="BH69">
        <v>0</v>
      </c>
      <c r="BI69">
        <v>2</v>
      </c>
      <c r="BJ69" t="s">
        <v>166</v>
      </c>
      <c r="BM69">
        <v>320</v>
      </c>
      <c r="BN69">
        <v>0</v>
      </c>
      <c r="BO69" t="s">
        <v>164</v>
      </c>
      <c r="BP69">
        <v>1</v>
      </c>
      <c r="BQ69">
        <v>40</v>
      </c>
      <c r="BR69">
        <v>0</v>
      </c>
      <c r="BS69">
        <v>13.09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96</v>
      </c>
      <c r="CA69">
        <v>42</v>
      </c>
      <c r="CF69">
        <v>0</v>
      </c>
      <c r="CG69">
        <v>0</v>
      </c>
      <c r="CM69">
        <v>0</v>
      </c>
      <c r="CO69">
        <v>0</v>
      </c>
      <c r="CP69">
        <f t="shared" si="27"/>
        <v>1713.04</v>
      </c>
      <c r="CQ69">
        <f t="shared" si="28"/>
        <v>19.790399999999998</v>
      </c>
      <c r="CR69">
        <f t="shared" si="29"/>
        <v>0</v>
      </c>
      <c r="CS69">
        <f t="shared" si="30"/>
        <v>0</v>
      </c>
      <c r="CT69">
        <f t="shared" si="31"/>
        <v>194.34016139999997</v>
      </c>
      <c r="CU69">
        <f t="shared" si="32"/>
        <v>0</v>
      </c>
      <c r="CV69">
        <f t="shared" si="33"/>
        <v>1.2040499999999998</v>
      </c>
      <c r="CW69">
        <f t="shared" si="34"/>
        <v>0</v>
      </c>
      <c r="CX69">
        <f t="shared" si="35"/>
        <v>0</v>
      </c>
      <c r="CY69">
        <f t="shared" si="36"/>
        <v>1492.5312</v>
      </c>
      <c r="CZ69">
        <f t="shared" si="37"/>
        <v>652.9824</v>
      </c>
      <c r="DN69">
        <v>112</v>
      </c>
      <c r="DO69">
        <v>70</v>
      </c>
      <c r="DP69">
        <v>1.047</v>
      </c>
      <c r="DQ69">
        <v>1</v>
      </c>
      <c r="DR69">
        <v>4.56</v>
      </c>
      <c r="DS69">
        <v>11.160532823862916</v>
      </c>
      <c r="DT69">
        <v>13.09</v>
      </c>
      <c r="DU69">
        <v>1010</v>
      </c>
      <c r="DV69" t="s">
        <v>22</v>
      </c>
      <c r="DW69" t="s">
        <v>22</v>
      </c>
      <c r="DX69">
        <v>1</v>
      </c>
      <c r="EE69">
        <v>18683874</v>
      </c>
      <c r="EF69">
        <v>40</v>
      </c>
      <c r="EG69" t="s">
        <v>27</v>
      </c>
      <c r="EH69">
        <v>0</v>
      </c>
      <c r="EJ69">
        <v>2</v>
      </c>
      <c r="EK69">
        <v>320</v>
      </c>
      <c r="EL69" t="s">
        <v>167</v>
      </c>
      <c r="EM69" t="s">
        <v>168</v>
      </c>
      <c r="EQ69">
        <v>0</v>
      </c>
      <c r="ER69">
        <v>18.52</v>
      </c>
      <c r="ES69">
        <v>4.34</v>
      </c>
      <c r="ET69">
        <v>0</v>
      </c>
      <c r="EU69">
        <v>0</v>
      </c>
      <c r="EV69">
        <v>14.18</v>
      </c>
      <c r="EW69">
        <v>1.15</v>
      </c>
      <c r="EX69">
        <v>0</v>
      </c>
      <c r="EY69">
        <v>0</v>
      </c>
      <c r="EZ69">
        <v>0</v>
      </c>
      <c r="FQ69">
        <v>0</v>
      </c>
      <c r="FR69">
        <f t="shared" si="38"/>
        <v>0</v>
      </c>
      <c r="FS69">
        <v>0</v>
      </c>
      <c r="FX69">
        <v>96</v>
      </c>
      <c r="FY69">
        <v>42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</row>
    <row r="70" spans="1:194" ht="12.75">
      <c r="A70">
        <v>17</v>
      </c>
      <c r="B70">
        <v>1</v>
      </c>
      <c r="E70" t="s">
        <v>169</v>
      </c>
      <c r="F70" t="s">
        <v>170</v>
      </c>
      <c r="G70" t="s">
        <v>171</v>
      </c>
      <c r="H70" t="s">
        <v>22</v>
      </c>
      <c r="I70">
        <v>6</v>
      </c>
      <c r="J70">
        <v>0</v>
      </c>
      <c r="O70">
        <f t="shared" si="7"/>
        <v>2144.22</v>
      </c>
      <c r="P70">
        <f t="shared" si="8"/>
        <v>55.54</v>
      </c>
      <c r="Q70">
        <f t="shared" si="9"/>
        <v>0</v>
      </c>
      <c r="R70">
        <f t="shared" si="10"/>
        <v>0</v>
      </c>
      <c r="S70">
        <f t="shared" si="11"/>
        <v>2088.68</v>
      </c>
      <c r="T70">
        <f t="shared" si="12"/>
        <v>0</v>
      </c>
      <c r="U70">
        <f t="shared" si="13"/>
        <v>12.940919999999998</v>
      </c>
      <c r="V70">
        <f t="shared" si="14"/>
        <v>0</v>
      </c>
      <c r="W70">
        <f t="shared" si="15"/>
        <v>0</v>
      </c>
      <c r="X70">
        <f t="shared" si="16"/>
        <v>2005.13</v>
      </c>
      <c r="Y70">
        <f t="shared" si="17"/>
        <v>877.25</v>
      </c>
      <c r="AA70">
        <v>0</v>
      </c>
      <c r="AB70">
        <f t="shared" si="18"/>
        <v>27.43</v>
      </c>
      <c r="AC70">
        <f t="shared" si="19"/>
        <v>2.03</v>
      </c>
      <c r="AD70">
        <f t="shared" si="39"/>
        <v>0</v>
      </c>
      <c r="AE70">
        <f t="shared" si="40"/>
        <v>0</v>
      </c>
      <c r="AF70">
        <f t="shared" si="41"/>
        <v>25.4</v>
      </c>
      <c r="AG70">
        <f t="shared" si="23"/>
        <v>0</v>
      </c>
      <c r="AH70">
        <f t="shared" si="42"/>
        <v>2.06</v>
      </c>
      <c r="AI70">
        <f t="shared" si="43"/>
        <v>0</v>
      </c>
      <c r="AJ70">
        <f t="shared" si="26"/>
        <v>0</v>
      </c>
      <c r="AK70">
        <v>27.43</v>
      </c>
      <c r="AL70">
        <v>2.03</v>
      </c>
      <c r="AM70">
        <v>0</v>
      </c>
      <c r="AN70">
        <v>0</v>
      </c>
      <c r="AO70">
        <v>25.4</v>
      </c>
      <c r="AP70">
        <v>0</v>
      </c>
      <c r="AQ70">
        <v>2.06</v>
      </c>
      <c r="AR70">
        <v>0</v>
      </c>
      <c r="AS70">
        <v>0</v>
      </c>
      <c r="AT70">
        <v>96</v>
      </c>
      <c r="AU70">
        <v>42</v>
      </c>
      <c r="AV70">
        <v>1.047</v>
      </c>
      <c r="AW70">
        <v>1</v>
      </c>
      <c r="AX70">
        <v>12.485061257880558</v>
      </c>
      <c r="AY70">
        <v>13.09</v>
      </c>
      <c r="AZ70">
        <v>13.09</v>
      </c>
      <c r="BA70">
        <v>13.09</v>
      </c>
      <c r="BB70">
        <v>1</v>
      </c>
      <c r="BC70">
        <v>4.56</v>
      </c>
      <c r="BH70">
        <v>0</v>
      </c>
      <c r="BI70">
        <v>2</v>
      </c>
      <c r="BJ70" t="s">
        <v>172</v>
      </c>
      <c r="BM70">
        <v>355</v>
      </c>
      <c r="BN70">
        <v>0</v>
      </c>
      <c r="BO70" t="s">
        <v>170</v>
      </c>
      <c r="BP70">
        <v>1</v>
      </c>
      <c r="BQ70">
        <v>40</v>
      </c>
      <c r="BR70">
        <v>0</v>
      </c>
      <c r="BS70">
        <v>13.09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96</v>
      </c>
      <c r="CA70">
        <v>42</v>
      </c>
      <c r="CF70">
        <v>0</v>
      </c>
      <c r="CG70">
        <v>0</v>
      </c>
      <c r="CM70">
        <v>0</v>
      </c>
      <c r="CO70">
        <v>0</v>
      </c>
      <c r="CP70">
        <f t="shared" si="27"/>
        <v>2144.22</v>
      </c>
      <c r="CQ70">
        <f t="shared" si="28"/>
        <v>9.256799999999998</v>
      </c>
      <c r="CR70">
        <f t="shared" si="29"/>
        <v>0</v>
      </c>
      <c r="CS70">
        <f t="shared" si="30"/>
        <v>0</v>
      </c>
      <c r="CT70">
        <f t="shared" si="31"/>
        <v>348.11284199999994</v>
      </c>
      <c r="CU70">
        <f t="shared" si="32"/>
        <v>0</v>
      </c>
      <c r="CV70">
        <f t="shared" si="33"/>
        <v>2.1568199999999997</v>
      </c>
      <c r="CW70">
        <f t="shared" si="34"/>
        <v>0</v>
      </c>
      <c r="CX70">
        <f t="shared" si="35"/>
        <v>0</v>
      </c>
      <c r="CY70">
        <f t="shared" si="36"/>
        <v>2005.1327999999999</v>
      </c>
      <c r="CZ70">
        <f t="shared" si="37"/>
        <v>877.2455999999999</v>
      </c>
      <c r="DN70">
        <v>112</v>
      </c>
      <c r="DO70">
        <v>70</v>
      </c>
      <c r="DP70">
        <v>1.047</v>
      </c>
      <c r="DQ70">
        <v>1</v>
      </c>
      <c r="DR70">
        <v>4.56</v>
      </c>
      <c r="DS70">
        <v>12.485061257880558</v>
      </c>
      <c r="DT70">
        <v>13.09</v>
      </c>
      <c r="DU70">
        <v>1010</v>
      </c>
      <c r="DV70" t="s">
        <v>22</v>
      </c>
      <c r="DW70" t="s">
        <v>22</v>
      </c>
      <c r="DX70">
        <v>1</v>
      </c>
      <c r="EE70">
        <v>18683909</v>
      </c>
      <c r="EF70">
        <v>40</v>
      </c>
      <c r="EG70" t="s">
        <v>27</v>
      </c>
      <c r="EH70">
        <v>0</v>
      </c>
      <c r="EJ70">
        <v>2</v>
      </c>
      <c r="EK70">
        <v>355</v>
      </c>
      <c r="EL70" t="s">
        <v>105</v>
      </c>
      <c r="EM70" t="s">
        <v>106</v>
      </c>
      <c r="EQ70">
        <v>0</v>
      </c>
      <c r="ER70">
        <v>27.43</v>
      </c>
      <c r="ES70">
        <v>2.03</v>
      </c>
      <c r="ET70">
        <v>0</v>
      </c>
      <c r="EU70">
        <v>0</v>
      </c>
      <c r="EV70">
        <v>25.4</v>
      </c>
      <c r="EW70">
        <v>2.06</v>
      </c>
      <c r="EX70">
        <v>0</v>
      </c>
      <c r="EY70">
        <v>0</v>
      </c>
      <c r="EZ70">
        <v>0</v>
      </c>
      <c r="FQ70">
        <v>0</v>
      </c>
      <c r="FR70">
        <f t="shared" si="38"/>
        <v>0</v>
      </c>
      <c r="FS70">
        <v>0</v>
      </c>
      <c r="FX70">
        <v>96</v>
      </c>
      <c r="FY70">
        <v>42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</row>
    <row r="71" spans="1:194" ht="12.75">
      <c r="A71">
        <v>17</v>
      </c>
      <c r="B71">
        <v>1</v>
      </c>
      <c r="E71" t="s">
        <v>173</v>
      </c>
      <c r="F71" t="s">
        <v>174</v>
      </c>
      <c r="G71" t="s">
        <v>175</v>
      </c>
      <c r="H71" t="s">
        <v>176</v>
      </c>
      <c r="I71">
        <v>2</v>
      </c>
      <c r="J71">
        <v>0</v>
      </c>
      <c r="O71">
        <f t="shared" si="7"/>
        <v>386.49</v>
      </c>
      <c r="P71">
        <f t="shared" si="8"/>
        <v>0.32</v>
      </c>
      <c r="Q71">
        <f t="shared" si="9"/>
        <v>0</v>
      </c>
      <c r="R71">
        <f t="shared" si="10"/>
        <v>0</v>
      </c>
      <c r="S71">
        <f t="shared" si="11"/>
        <v>386.17</v>
      </c>
      <c r="T71">
        <f t="shared" si="12"/>
        <v>0</v>
      </c>
      <c r="U71">
        <f t="shared" si="13"/>
        <v>2.174</v>
      </c>
      <c r="V71">
        <f t="shared" si="14"/>
        <v>0</v>
      </c>
      <c r="W71">
        <f t="shared" si="15"/>
        <v>0</v>
      </c>
      <c r="X71">
        <f t="shared" si="16"/>
        <v>370.72</v>
      </c>
      <c r="Y71">
        <f t="shared" si="17"/>
        <v>162.19</v>
      </c>
      <c r="AA71">
        <v>0</v>
      </c>
      <c r="AB71">
        <f t="shared" si="18"/>
        <v>13.66</v>
      </c>
      <c r="AC71">
        <f t="shared" si="19"/>
        <v>0.09</v>
      </c>
      <c r="AD71">
        <f t="shared" si="39"/>
        <v>0</v>
      </c>
      <c r="AE71">
        <f t="shared" si="40"/>
        <v>0</v>
      </c>
      <c r="AF71">
        <f t="shared" si="41"/>
        <v>13.57</v>
      </c>
      <c r="AG71">
        <f t="shared" si="23"/>
        <v>0</v>
      </c>
      <c r="AH71">
        <f t="shared" si="42"/>
        <v>1</v>
      </c>
      <c r="AI71">
        <f t="shared" si="43"/>
        <v>0</v>
      </c>
      <c r="AJ71">
        <f t="shared" si="26"/>
        <v>0</v>
      </c>
      <c r="AK71">
        <v>13.66</v>
      </c>
      <c r="AL71">
        <v>0.09</v>
      </c>
      <c r="AM71">
        <v>0</v>
      </c>
      <c r="AN71">
        <v>0</v>
      </c>
      <c r="AO71">
        <v>13.57</v>
      </c>
      <c r="AP71">
        <v>0</v>
      </c>
      <c r="AQ71">
        <v>1</v>
      </c>
      <c r="AR71">
        <v>0</v>
      </c>
      <c r="AS71">
        <v>0</v>
      </c>
      <c r="AT71">
        <v>96</v>
      </c>
      <c r="AU71">
        <v>42</v>
      </c>
      <c r="AV71">
        <v>1.087</v>
      </c>
      <c r="AW71">
        <v>1</v>
      </c>
      <c r="AX71">
        <v>13.021496114500975</v>
      </c>
      <c r="AY71">
        <v>13.09</v>
      </c>
      <c r="AZ71">
        <v>13.09</v>
      </c>
      <c r="BA71">
        <v>13.09</v>
      </c>
      <c r="BB71">
        <v>1</v>
      </c>
      <c r="BC71">
        <v>1.78</v>
      </c>
      <c r="BH71">
        <v>0</v>
      </c>
      <c r="BI71">
        <v>2</v>
      </c>
      <c r="BJ71" t="s">
        <v>177</v>
      </c>
      <c r="BM71">
        <v>351</v>
      </c>
      <c r="BN71">
        <v>0</v>
      </c>
      <c r="BO71" t="s">
        <v>174</v>
      </c>
      <c r="BP71">
        <v>1</v>
      </c>
      <c r="BQ71">
        <v>40</v>
      </c>
      <c r="BR71">
        <v>0</v>
      </c>
      <c r="BS71">
        <v>13.09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96</v>
      </c>
      <c r="CA71">
        <v>42</v>
      </c>
      <c r="CF71">
        <v>0</v>
      </c>
      <c r="CG71">
        <v>0</v>
      </c>
      <c r="CM71">
        <v>0</v>
      </c>
      <c r="CO71">
        <v>0</v>
      </c>
      <c r="CP71">
        <f t="shared" si="27"/>
        <v>386.49</v>
      </c>
      <c r="CQ71">
        <f t="shared" si="28"/>
        <v>0.1602</v>
      </c>
      <c r="CR71">
        <f t="shared" si="29"/>
        <v>0</v>
      </c>
      <c r="CS71">
        <f t="shared" si="30"/>
        <v>0</v>
      </c>
      <c r="CT71">
        <f t="shared" si="31"/>
        <v>193.08522309999998</v>
      </c>
      <c r="CU71">
        <f t="shared" si="32"/>
        <v>0</v>
      </c>
      <c r="CV71">
        <f t="shared" si="33"/>
        <v>1.087</v>
      </c>
      <c r="CW71">
        <f t="shared" si="34"/>
        <v>0</v>
      </c>
      <c r="CX71">
        <f t="shared" si="35"/>
        <v>0</v>
      </c>
      <c r="CY71">
        <f t="shared" si="36"/>
        <v>370.7232</v>
      </c>
      <c r="CZ71">
        <f t="shared" si="37"/>
        <v>162.1914</v>
      </c>
      <c r="DN71">
        <v>112</v>
      </c>
      <c r="DO71">
        <v>70</v>
      </c>
      <c r="DP71">
        <v>1.087</v>
      </c>
      <c r="DQ71">
        <v>1</v>
      </c>
      <c r="DR71">
        <v>1.78</v>
      </c>
      <c r="DS71">
        <v>13.021496114500975</v>
      </c>
      <c r="DT71">
        <v>13.09</v>
      </c>
      <c r="DU71">
        <v>1013</v>
      </c>
      <c r="DV71" t="s">
        <v>176</v>
      </c>
      <c r="DW71" t="s">
        <v>176</v>
      </c>
      <c r="DX71">
        <v>1</v>
      </c>
      <c r="EE71">
        <v>18683905</v>
      </c>
      <c r="EF71">
        <v>40</v>
      </c>
      <c r="EG71" t="s">
        <v>27</v>
      </c>
      <c r="EH71">
        <v>0</v>
      </c>
      <c r="EJ71">
        <v>2</v>
      </c>
      <c r="EK71">
        <v>351</v>
      </c>
      <c r="EL71" t="s">
        <v>178</v>
      </c>
      <c r="EM71" t="s">
        <v>179</v>
      </c>
      <c r="EQ71">
        <v>0</v>
      </c>
      <c r="ER71">
        <v>13.66</v>
      </c>
      <c r="ES71">
        <v>0.09</v>
      </c>
      <c r="ET71">
        <v>0</v>
      </c>
      <c r="EU71">
        <v>0</v>
      </c>
      <c r="EV71">
        <v>13.57</v>
      </c>
      <c r="EW71">
        <v>1</v>
      </c>
      <c r="EX71">
        <v>0</v>
      </c>
      <c r="EY71">
        <v>0</v>
      </c>
      <c r="EZ71">
        <v>0</v>
      </c>
      <c r="FQ71">
        <v>0</v>
      </c>
      <c r="FR71">
        <f t="shared" si="38"/>
        <v>0</v>
      </c>
      <c r="FS71">
        <v>0</v>
      </c>
      <c r="FX71">
        <v>96</v>
      </c>
      <c r="FY71">
        <v>42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</row>
    <row r="72" spans="1:194" ht="12.75">
      <c r="A72">
        <v>17</v>
      </c>
      <c r="B72">
        <v>1</v>
      </c>
      <c r="E72" t="s">
        <v>180</v>
      </c>
      <c r="F72" t="s">
        <v>181</v>
      </c>
      <c r="G72" t="s">
        <v>182</v>
      </c>
      <c r="H72" t="s">
        <v>183</v>
      </c>
      <c r="I72">
        <v>1</v>
      </c>
      <c r="J72">
        <v>0</v>
      </c>
      <c r="O72">
        <f t="shared" si="7"/>
        <v>5469.99</v>
      </c>
      <c r="P72">
        <f t="shared" si="8"/>
        <v>5.52</v>
      </c>
      <c r="Q72">
        <f t="shared" si="9"/>
        <v>3572.78</v>
      </c>
      <c r="R72">
        <f t="shared" si="10"/>
        <v>1225.33</v>
      </c>
      <c r="S72">
        <f t="shared" si="11"/>
        <v>1891.69</v>
      </c>
      <c r="T72">
        <f t="shared" si="12"/>
        <v>0</v>
      </c>
      <c r="U72">
        <f t="shared" si="13"/>
        <v>8.536</v>
      </c>
      <c r="V72">
        <f t="shared" si="14"/>
        <v>0</v>
      </c>
      <c r="W72">
        <f t="shared" si="15"/>
        <v>0</v>
      </c>
      <c r="X72">
        <f t="shared" si="16"/>
        <v>1816.02</v>
      </c>
      <c r="Y72">
        <f t="shared" si="17"/>
        <v>794.51</v>
      </c>
      <c r="AA72">
        <v>0</v>
      </c>
      <c r="AB72">
        <f t="shared" si="18"/>
        <v>621.8399999999999</v>
      </c>
      <c r="AC72">
        <f t="shared" si="19"/>
        <v>1.12</v>
      </c>
      <c r="AD72">
        <f t="shared" si="39"/>
        <v>485.28</v>
      </c>
      <c r="AE72">
        <f t="shared" si="40"/>
        <v>87.73</v>
      </c>
      <c r="AF72">
        <f t="shared" si="41"/>
        <v>135.44</v>
      </c>
      <c r="AG72">
        <f t="shared" si="23"/>
        <v>0</v>
      </c>
      <c r="AH72">
        <f t="shared" si="42"/>
        <v>8</v>
      </c>
      <c r="AI72">
        <f t="shared" si="43"/>
        <v>0</v>
      </c>
      <c r="AJ72">
        <f t="shared" si="26"/>
        <v>0</v>
      </c>
      <c r="AK72">
        <v>621.84</v>
      </c>
      <c r="AL72">
        <v>1.12</v>
      </c>
      <c r="AM72">
        <v>485.28</v>
      </c>
      <c r="AN72">
        <v>87.73</v>
      </c>
      <c r="AO72">
        <v>135.44</v>
      </c>
      <c r="AP72">
        <v>0</v>
      </c>
      <c r="AQ72">
        <v>8</v>
      </c>
      <c r="AR72">
        <v>0</v>
      </c>
      <c r="AS72">
        <v>0</v>
      </c>
      <c r="AT72">
        <v>96</v>
      </c>
      <c r="AU72">
        <v>42</v>
      </c>
      <c r="AV72">
        <v>1.067</v>
      </c>
      <c r="AW72">
        <v>1.081</v>
      </c>
      <c r="AX72">
        <v>8.243910327365933</v>
      </c>
      <c r="AY72">
        <v>13.09</v>
      </c>
      <c r="AZ72">
        <v>13.09</v>
      </c>
      <c r="BA72">
        <v>13.09</v>
      </c>
      <c r="BB72">
        <v>6.9</v>
      </c>
      <c r="BC72">
        <v>4.56</v>
      </c>
      <c r="BH72">
        <v>0</v>
      </c>
      <c r="BI72">
        <v>2</v>
      </c>
      <c r="BJ72" t="s">
        <v>184</v>
      </c>
      <c r="BM72">
        <v>345</v>
      </c>
      <c r="BN72">
        <v>0</v>
      </c>
      <c r="BO72" t="s">
        <v>181</v>
      </c>
      <c r="BP72">
        <v>1</v>
      </c>
      <c r="BQ72">
        <v>40</v>
      </c>
      <c r="BR72">
        <v>0</v>
      </c>
      <c r="BS72">
        <v>13.09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96</v>
      </c>
      <c r="CA72">
        <v>42</v>
      </c>
      <c r="CF72">
        <v>0</v>
      </c>
      <c r="CG72">
        <v>0</v>
      </c>
      <c r="CM72">
        <v>0</v>
      </c>
      <c r="CO72">
        <v>0</v>
      </c>
      <c r="CP72">
        <f t="shared" si="27"/>
        <v>5469.99</v>
      </c>
      <c r="CQ72">
        <f t="shared" si="28"/>
        <v>5.520883199999999</v>
      </c>
      <c r="CR72">
        <f t="shared" si="29"/>
        <v>3572.7769439999997</v>
      </c>
      <c r="CS72">
        <f t="shared" si="30"/>
        <v>1225.3275419000001</v>
      </c>
      <c r="CT72">
        <f t="shared" si="31"/>
        <v>1891.6945431999998</v>
      </c>
      <c r="CU72">
        <f t="shared" si="32"/>
        <v>0</v>
      </c>
      <c r="CV72">
        <f t="shared" si="33"/>
        <v>8.536</v>
      </c>
      <c r="CW72">
        <f t="shared" si="34"/>
        <v>0</v>
      </c>
      <c r="CX72">
        <f t="shared" si="35"/>
        <v>0</v>
      </c>
      <c r="CY72">
        <f t="shared" si="36"/>
        <v>1816.0224</v>
      </c>
      <c r="CZ72">
        <f t="shared" si="37"/>
        <v>794.5098</v>
      </c>
      <c r="DN72">
        <v>112</v>
      </c>
      <c r="DO72">
        <v>70</v>
      </c>
      <c r="DP72">
        <v>1.067</v>
      </c>
      <c r="DQ72">
        <v>1.081</v>
      </c>
      <c r="DR72">
        <v>4.56</v>
      </c>
      <c r="DS72">
        <v>8.243910327365933</v>
      </c>
      <c r="DT72">
        <v>13.09</v>
      </c>
      <c r="DU72">
        <v>1013</v>
      </c>
      <c r="DV72" t="s">
        <v>183</v>
      </c>
      <c r="DW72" t="s">
        <v>183</v>
      </c>
      <c r="DX72">
        <v>1</v>
      </c>
      <c r="EE72">
        <v>18683899</v>
      </c>
      <c r="EF72">
        <v>40</v>
      </c>
      <c r="EG72" t="s">
        <v>27</v>
      </c>
      <c r="EH72">
        <v>0</v>
      </c>
      <c r="EJ72">
        <v>2</v>
      </c>
      <c r="EK72">
        <v>345</v>
      </c>
      <c r="EL72" t="s">
        <v>185</v>
      </c>
      <c r="EM72" t="s">
        <v>186</v>
      </c>
      <c r="EQ72">
        <v>0</v>
      </c>
      <c r="ER72">
        <v>621.84</v>
      </c>
      <c r="ES72">
        <v>1.12</v>
      </c>
      <c r="ET72">
        <v>485.28</v>
      </c>
      <c r="EU72">
        <v>87.73</v>
      </c>
      <c r="EV72">
        <v>135.44</v>
      </c>
      <c r="EW72">
        <v>8</v>
      </c>
      <c r="EX72">
        <v>0</v>
      </c>
      <c r="EY72">
        <v>0</v>
      </c>
      <c r="EZ72">
        <v>0</v>
      </c>
      <c r="FQ72">
        <v>0</v>
      </c>
      <c r="FR72">
        <f t="shared" si="38"/>
        <v>0</v>
      </c>
      <c r="FS72">
        <v>0</v>
      </c>
      <c r="FX72">
        <v>96</v>
      </c>
      <c r="FY72">
        <v>42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</row>
    <row r="73" spans="1:194" ht="12.75">
      <c r="A73">
        <v>17</v>
      </c>
      <c r="B73">
        <v>1</v>
      </c>
      <c r="E73" t="s">
        <v>187</v>
      </c>
      <c r="F73" t="s">
        <v>188</v>
      </c>
      <c r="G73" t="s">
        <v>189</v>
      </c>
      <c r="H73" t="s">
        <v>190</v>
      </c>
      <c r="I73">
        <v>1</v>
      </c>
      <c r="J73">
        <v>0</v>
      </c>
      <c r="O73">
        <f t="shared" si="7"/>
        <v>7381.67</v>
      </c>
      <c r="P73">
        <f t="shared" si="8"/>
        <v>7.59</v>
      </c>
      <c r="Q73">
        <f t="shared" si="9"/>
        <v>5009.46</v>
      </c>
      <c r="R73">
        <f t="shared" si="10"/>
        <v>1718.22</v>
      </c>
      <c r="S73">
        <f t="shared" si="11"/>
        <v>2364.62</v>
      </c>
      <c r="T73">
        <f t="shared" si="12"/>
        <v>0</v>
      </c>
      <c r="U73">
        <f t="shared" si="13"/>
        <v>10.67</v>
      </c>
      <c r="V73">
        <f t="shared" si="14"/>
        <v>0</v>
      </c>
      <c r="W73">
        <f t="shared" si="15"/>
        <v>0</v>
      </c>
      <c r="X73">
        <f t="shared" si="16"/>
        <v>2270.04</v>
      </c>
      <c r="Y73">
        <f t="shared" si="17"/>
        <v>993.14</v>
      </c>
      <c r="AA73">
        <v>0</v>
      </c>
      <c r="AB73">
        <f t="shared" si="18"/>
        <v>851.26</v>
      </c>
      <c r="AC73">
        <f>((ES73*2))</f>
        <v>1.54</v>
      </c>
      <c r="AD73">
        <f>((((ET73*2))-((EU73*2)))+AE73)</f>
        <v>680.42</v>
      </c>
      <c r="AE73">
        <f>((EU73*2))</f>
        <v>123.02</v>
      </c>
      <c r="AF73">
        <f>((EV73*2))</f>
        <v>169.3</v>
      </c>
      <c r="AG73">
        <f t="shared" si="23"/>
        <v>0</v>
      </c>
      <c r="AH73">
        <f>((EW73*2))</f>
        <v>10</v>
      </c>
      <c r="AI73">
        <f>((EX73*2))</f>
        <v>0</v>
      </c>
      <c r="AJ73">
        <f t="shared" si="26"/>
        <v>0</v>
      </c>
      <c r="AK73">
        <v>425.63</v>
      </c>
      <c r="AL73">
        <v>0.77</v>
      </c>
      <c r="AM73">
        <v>340.21</v>
      </c>
      <c r="AN73">
        <v>61.51</v>
      </c>
      <c r="AO73">
        <v>84.65</v>
      </c>
      <c r="AP73">
        <v>0</v>
      </c>
      <c r="AQ73">
        <v>5</v>
      </c>
      <c r="AR73">
        <v>0</v>
      </c>
      <c r="AS73">
        <v>0</v>
      </c>
      <c r="AT73">
        <v>96</v>
      </c>
      <c r="AU73">
        <v>42</v>
      </c>
      <c r="AV73">
        <v>1.067</v>
      </c>
      <c r="AW73">
        <v>1.081</v>
      </c>
      <c r="AX73">
        <v>8.12676059942015</v>
      </c>
      <c r="AY73">
        <v>13.09</v>
      </c>
      <c r="AZ73">
        <v>13.09</v>
      </c>
      <c r="BA73">
        <v>13.09</v>
      </c>
      <c r="BB73">
        <v>6.9</v>
      </c>
      <c r="BC73">
        <v>4.56</v>
      </c>
      <c r="BH73">
        <v>0</v>
      </c>
      <c r="BI73">
        <v>2</v>
      </c>
      <c r="BJ73" t="s">
        <v>191</v>
      </c>
      <c r="BM73">
        <v>345</v>
      </c>
      <c r="BN73">
        <v>0</v>
      </c>
      <c r="BO73" t="s">
        <v>188</v>
      </c>
      <c r="BP73">
        <v>1</v>
      </c>
      <c r="BQ73">
        <v>40</v>
      </c>
      <c r="BR73">
        <v>0</v>
      </c>
      <c r="BS73">
        <v>13.09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96</v>
      </c>
      <c r="CA73">
        <v>42</v>
      </c>
      <c r="CF73">
        <v>0</v>
      </c>
      <c r="CG73">
        <v>0</v>
      </c>
      <c r="CM73">
        <v>0</v>
      </c>
      <c r="CN73" t="s">
        <v>192</v>
      </c>
      <c r="CO73">
        <v>0</v>
      </c>
      <c r="CP73">
        <f t="shared" si="27"/>
        <v>7381.67</v>
      </c>
      <c r="CQ73">
        <f t="shared" si="28"/>
        <v>7.591214399999999</v>
      </c>
      <c r="CR73">
        <f t="shared" si="29"/>
        <v>5009.456166</v>
      </c>
      <c r="CS73">
        <f t="shared" si="30"/>
        <v>1718.2240305999999</v>
      </c>
      <c r="CT73">
        <f t="shared" si="31"/>
        <v>2364.618179</v>
      </c>
      <c r="CU73">
        <f t="shared" si="32"/>
        <v>0</v>
      </c>
      <c r="CV73">
        <f t="shared" si="33"/>
        <v>10.67</v>
      </c>
      <c r="CW73">
        <f t="shared" si="34"/>
        <v>0</v>
      </c>
      <c r="CX73">
        <f t="shared" si="35"/>
        <v>0</v>
      </c>
      <c r="CY73">
        <f t="shared" si="36"/>
        <v>2270.0352</v>
      </c>
      <c r="CZ73">
        <f t="shared" si="37"/>
        <v>993.1403999999999</v>
      </c>
      <c r="DD73" t="s">
        <v>193</v>
      </c>
      <c r="DE73" t="s">
        <v>193</v>
      </c>
      <c r="DF73" t="s">
        <v>193</v>
      </c>
      <c r="DG73" t="s">
        <v>193</v>
      </c>
      <c r="DI73" t="s">
        <v>193</v>
      </c>
      <c r="DJ73" t="s">
        <v>193</v>
      </c>
      <c r="DN73">
        <v>112</v>
      </c>
      <c r="DO73">
        <v>70</v>
      </c>
      <c r="DP73">
        <v>1.067</v>
      </c>
      <c r="DQ73">
        <v>1.081</v>
      </c>
      <c r="DR73">
        <v>4.56</v>
      </c>
      <c r="DS73">
        <v>8.12676059942015</v>
      </c>
      <c r="DT73">
        <v>13.09</v>
      </c>
      <c r="DU73">
        <v>1013</v>
      </c>
      <c r="DV73" t="s">
        <v>190</v>
      </c>
      <c r="DW73" t="s">
        <v>190</v>
      </c>
      <c r="DX73">
        <v>1</v>
      </c>
      <c r="EE73">
        <v>18683899</v>
      </c>
      <c r="EF73">
        <v>40</v>
      </c>
      <c r="EG73" t="s">
        <v>27</v>
      </c>
      <c r="EH73">
        <v>0</v>
      </c>
      <c r="EJ73">
        <v>2</v>
      </c>
      <c r="EK73">
        <v>345</v>
      </c>
      <c r="EL73" t="s">
        <v>185</v>
      </c>
      <c r="EM73" t="s">
        <v>186</v>
      </c>
      <c r="EO73" t="s">
        <v>194</v>
      </c>
      <c r="EQ73">
        <v>0</v>
      </c>
      <c r="ER73">
        <v>425.63</v>
      </c>
      <c r="ES73">
        <v>0.77</v>
      </c>
      <c r="ET73">
        <v>340.21</v>
      </c>
      <c r="EU73">
        <v>61.51</v>
      </c>
      <c r="EV73">
        <v>84.65</v>
      </c>
      <c r="EW73">
        <v>5</v>
      </c>
      <c r="EX73">
        <v>0</v>
      </c>
      <c r="EY73">
        <v>0</v>
      </c>
      <c r="EZ73">
        <v>0</v>
      </c>
      <c r="FQ73">
        <v>0</v>
      </c>
      <c r="FR73">
        <f t="shared" si="38"/>
        <v>0</v>
      </c>
      <c r="FS73">
        <v>0</v>
      </c>
      <c r="FX73">
        <v>96</v>
      </c>
      <c r="FY73">
        <v>42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</row>
    <row r="74" spans="1:194" ht="12.75">
      <c r="A74">
        <v>17</v>
      </c>
      <c r="B74">
        <v>1</v>
      </c>
      <c r="E74" t="s">
        <v>195</v>
      </c>
      <c r="F74" t="s">
        <v>188</v>
      </c>
      <c r="G74" t="s">
        <v>196</v>
      </c>
      <c r="H74" t="s">
        <v>190</v>
      </c>
      <c r="I74">
        <v>1</v>
      </c>
      <c r="J74">
        <v>0</v>
      </c>
      <c r="O74">
        <f t="shared" si="7"/>
        <v>3321.76</v>
      </c>
      <c r="P74">
        <f t="shared" si="8"/>
        <v>3.42</v>
      </c>
      <c r="Q74">
        <f t="shared" si="9"/>
        <v>2254.26</v>
      </c>
      <c r="R74">
        <f t="shared" si="10"/>
        <v>773.2</v>
      </c>
      <c r="S74">
        <f t="shared" si="11"/>
        <v>1064.08</v>
      </c>
      <c r="T74">
        <f t="shared" si="12"/>
        <v>0</v>
      </c>
      <c r="U74">
        <f t="shared" si="13"/>
        <v>4.8015</v>
      </c>
      <c r="V74">
        <f t="shared" si="14"/>
        <v>0</v>
      </c>
      <c r="W74">
        <f t="shared" si="15"/>
        <v>0</v>
      </c>
      <c r="X74">
        <f t="shared" si="16"/>
        <v>1021.52</v>
      </c>
      <c r="Y74">
        <f t="shared" si="17"/>
        <v>446.91</v>
      </c>
      <c r="AA74">
        <v>0</v>
      </c>
      <c r="AB74">
        <f t="shared" si="18"/>
        <v>383.06699999999995</v>
      </c>
      <c r="AC74">
        <f>((ES74*0.9))</f>
        <v>0.6930000000000001</v>
      </c>
      <c r="AD74">
        <f>((((ET74*0.9))-((EU74*0.9)))+AE74)</f>
        <v>306.18899999999996</v>
      </c>
      <c r="AE74">
        <f>((EU74*0.9))</f>
        <v>55.359</v>
      </c>
      <c r="AF74">
        <f>((EV74*0.9))</f>
        <v>76.185</v>
      </c>
      <c r="AG74">
        <f t="shared" si="23"/>
        <v>0</v>
      </c>
      <c r="AH74">
        <f>((EW74*0.9))</f>
        <v>4.5</v>
      </c>
      <c r="AI74">
        <f>((EX74*0.9))</f>
        <v>0</v>
      </c>
      <c r="AJ74">
        <f t="shared" si="26"/>
        <v>0</v>
      </c>
      <c r="AK74">
        <v>425.63</v>
      </c>
      <c r="AL74">
        <v>0.77</v>
      </c>
      <c r="AM74">
        <v>340.21</v>
      </c>
      <c r="AN74">
        <v>61.51</v>
      </c>
      <c r="AO74">
        <v>84.65</v>
      </c>
      <c r="AP74">
        <v>0</v>
      </c>
      <c r="AQ74">
        <v>5</v>
      </c>
      <c r="AR74">
        <v>0</v>
      </c>
      <c r="AS74">
        <v>0</v>
      </c>
      <c r="AT74">
        <v>96</v>
      </c>
      <c r="AU74">
        <v>42</v>
      </c>
      <c r="AV74">
        <v>1.067</v>
      </c>
      <c r="AW74">
        <v>1.081</v>
      </c>
      <c r="AX74">
        <v>8.126751610806002</v>
      </c>
      <c r="AY74">
        <v>13.09</v>
      </c>
      <c r="AZ74">
        <v>13.09</v>
      </c>
      <c r="BA74">
        <v>13.09</v>
      </c>
      <c r="BB74">
        <v>6.9</v>
      </c>
      <c r="BC74">
        <v>4.56</v>
      </c>
      <c r="BH74">
        <v>0</v>
      </c>
      <c r="BI74">
        <v>2</v>
      </c>
      <c r="BJ74" t="s">
        <v>191</v>
      </c>
      <c r="BM74">
        <v>345</v>
      </c>
      <c r="BN74">
        <v>0</v>
      </c>
      <c r="BO74" t="s">
        <v>188</v>
      </c>
      <c r="BP74">
        <v>1</v>
      </c>
      <c r="BQ74">
        <v>40</v>
      </c>
      <c r="BR74">
        <v>0</v>
      </c>
      <c r="BS74">
        <v>13.09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96</v>
      </c>
      <c r="CA74">
        <v>42</v>
      </c>
      <c r="CF74">
        <v>0</v>
      </c>
      <c r="CG74">
        <v>0</v>
      </c>
      <c r="CM74">
        <v>0</v>
      </c>
      <c r="CN74" t="s">
        <v>197</v>
      </c>
      <c r="CO74">
        <v>0</v>
      </c>
      <c r="CP74">
        <f t="shared" si="27"/>
        <v>3321.76</v>
      </c>
      <c r="CQ74">
        <f t="shared" si="28"/>
        <v>3.41604648</v>
      </c>
      <c r="CR74">
        <f t="shared" si="29"/>
        <v>2254.2552747</v>
      </c>
      <c r="CS74">
        <f t="shared" si="30"/>
        <v>773.20081377</v>
      </c>
      <c r="CT74">
        <f t="shared" si="31"/>
        <v>1064.07818055</v>
      </c>
      <c r="CU74">
        <f t="shared" si="32"/>
        <v>0</v>
      </c>
      <c r="CV74">
        <f t="shared" si="33"/>
        <v>4.8015</v>
      </c>
      <c r="CW74">
        <f t="shared" si="34"/>
        <v>0</v>
      </c>
      <c r="CX74">
        <f t="shared" si="35"/>
        <v>0</v>
      </c>
      <c r="CY74">
        <f t="shared" si="36"/>
        <v>1021.5167999999999</v>
      </c>
      <c r="CZ74">
        <f t="shared" si="37"/>
        <v>446.9136</v>
      </c>
      <c r="DD74" t="s">
        <v>198</v>
      </c>
      <c r="DE74" t="s">
        <v>198</v>
      </c>
      <c r="DF74" t="s">
        <v>198</v>
      </c>
      <c r="DG74" t="s">
        <v>198</v>
      </c>
      <c r="DI74" t="s">
        <v>198</v>
      </c>
      <c r="DJ74" t="s">
        <v>198</v>
      </c>
      <c r="DN74">
        <v>112</v>
      </c>
      <c r="DO74">
        <v>70</v>
      </c>
      <c r="DP74">
        <v>1.067</v>
      </c>
      <c r="DQ74">
        <v>1.081</v>
      </c>
      <c r="DR74">
        <v>4.56</v>
      </c>
      <c r="DS74">
        <v>8.126751610806002</v>
      </c>
      <c r="DT74">
        <v>13.09</v>
      </c>
      <c r="DU74">
        <v>1013</v>
      </c>
      <c r="DV74" t="s">
        <v>190</v>
      </c>
      <c r="DW74" t="s">
        <v>190</v>
      </c>
      <c r="DX74">
        <v>1</v>
      </c>
      <c r="EE74">
        <v>18683899</v>
      </c>
      <c r="EF74">
        <v>40</v>
      </c>
      <c r="EG74" t="s">
        <v>27</v>
      </c>
      <c r="EH74">
        <v>0</v>
      </c>
      <c r="EJ74">
        <v>2</v>
      </c>
      <c r="EK74">
        <v>345</v>
      </c>
      <c r="EL74" t="s">
        <v>185</v>
      </c>
      <c r="EM74" t="s">
        <v>186</v>
      </c>
      <c r="EO74" t="s">
        <v>199</v>
      </c>
      <c r="EQ74">
        <v>0</v>
      </c>
      <c r="ER74">
        <v>425.63</v>
      </c>
      <c r="ES74">
        <v>0.77</v>
      </c>
      <c r="ET74">
        <v>340.21</v>
      </c>
      <c r="EU74">
        <v>61.51</v>
      </c>
      <c r="EV74">
        <v>84.65</v>
      </c>
      <c r="EW74">
        <v>5</v>
      </c>
      <c r="EX74">
        <v>0</v>
      </c>
      <c r="EY74">
        <v>0</v>
      </c>
      <c r="EZ74">
        <v>0</v>
      </c>
      <c r="FQ74">
        <v>0</v>
      </c>
      <c r="FR74">
        <f t="shared" si="38"/>
        <v>0</v>
      </c>
      <c r="FS74">
        <v>0</v>
      </c>
      <c r="FX74">
        <v>96</v>
      </c>
      <c r="FY74">
        <v>42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</row>
    <row r="75" spans="1:194" ht="12.75">
      <c r="A75">
        <v>17</v>
      </c>
      <c r="B75">
        <v>1</v>
      </c>
      <c r="C75">
        <f>ROW(SmtRes!A13)</f>
        <v>13</v>
      </c>
      <c r="D75">
        <f>ROW(EtalonRes!A14)</f>
        <v>14</v>
      </c>
      <c r="E75" t="s">
        <v>200</v>
      </c>
      <c r="F75" t="s">
        <v>48</v>
      </c>
      <c r="G75" t="s">
        <v>201</v>
      </c>
      <c r="H75" t="s">
        <v>22</v>
      </c>
      <c r="I75">
        <v>1</v>
      </c>
      <c r="J75">
        <v>0</v>
      </c>
      <c r="O75">
        <f t="shared" si="7"/>
        <v>982.48</v>
      </c>
      <c r="P75">
        <f t="shared" si="8"/>
        <v>27.77</v>
      </c>
      <c r="Q75">
        <f t="shared" si="9"/>
        <v>0</v>
      </c>
      <c r="R75">
        <f t="shared" si="10"/>
        <v>0</v>
      </c>
      <c r="S75">
        <f t="shared" si="11"/>
        <v>954.71</v>
      </c>
      <c r="T75">
        <f t="shared" si="12"/>
        <v>0</v>
      </c>
      <c r="U75">
        <f t="shared" si="13"/>
        <v>6.282</v>
      </c>
      <c r="V75">
        <f t="shared" si="14"/>
        <v>0</v>
      </c>
      <c r="W75">
        <f t="shared" si="15"/>
        <v>0</v>
      </c>
      <c r="X75">
        <f t="shared" si="16"/>
        <v>916.52</v>
      </c>
      <c r="Y75">
        <f t="shared" si="17"/>
        <v>400.98</v>
      </c>
      <c r="AA75">
        <v>0</v>
      </c>
      <c r="AB75">
        <f t="shared" si="18"/>
        <v>75.75</v>
      </c>
      <c r="AC75">
        <f>(ES75)</f>
        <v>6.09</v>
      </c>
      <c r="AD75">
        <f>(((ET75)-(EU75))+AE75)</f>
        <v>0</v>
      </c>
      <c r="AE75">
        <f>(EU75)</f>
        <v>0</v>
      </c>
      <c r="AF75">
        <f>(EV75)</f>
        <v>69.66</v>
      </c>
      <c r="AG75">
        <f t="shared" si="23"/>
        <v>0</v>
      </c>
      <c r="AH75">
        <f>(EW75)</f>
        <v>6</v>
      </c>
      <c r="AI75">
        <f>(EX75)</f>
        <v>0</v>
      </c>
      <c r="AJ75">
        <f t="shared" si="26"/>
        <v>0</v>
      </c>
      <c r="AK75">
        <v>75.75</v>
      </c>
      <c r="AL75">
        <v>6.09</v>
      </c>
      <c r="AM75">
        <v>0</v>
      </c>
      <c r="AN75">
        <v>0</v>
      </c>
      <c r="AO75">
        <v>69.66</v>
      </c>
      <c r="AP75">
        <v>0</v>
      </c>
      <c r="AQ75">
        <v>6</v>
      </c>
      <c r="AR75">
        <v>0</v>
      </c>
      <c r="AS75">
        <v>0</v>
      </c>
      <c r="AT75">
        <v>96</v>
      </c>
      <c r="AU75">
        <v>42</v>
      </c>
      <c r="AV75">
        <v>1.047</v>
      </c>
      <c r="AW75">
        <v>1</v>
      </c>
      <c r="AX75">
        <v>12.43264512606554</v>
      </c>
      <c r="AY75">
        <v>13.09</v>
      </c>
      <c r="AZ75">
        <v>13.09</v>
      </c>
      <c r="BA75">
        <v>13.09</v>
      </c>
      <c r="BB75">
        <v>1</v>
      </c>
      <c r="BC75">
        <v>4.56</v>
      </c>
      <c r="BH75">
        <v>0</v>
      </c>
      <c r="BI75">
        <v>2</v>
      </c>
      <c r="BJ75" t="s">
        <v>50</v>
      </c>
      <c r="BM75">
        <v>336</v>
      </c>
      <c r="BN75">
        <v>0</v>
      </c>
      <c r="BO75" t="s">
        <v>48</v>
      </c>
      <c r="BP75">
        <v>1</v>
      </c>
      <c r="BQ75">
        <v>40</v>
      </c>
      <c r="BR75">
        <v>0</v>
      </c>
      <c r="BS75">
        <v>13.09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96</v>
      </c>
      <c r="CA75">
        <v>42</v>
      </c>
      <c r="CF75">
        <v>0</v>
      </c>
      <c r="CG75">
        <v>0</v>
      </c>
      <c r="CM75">
        <v>0</v>
      </c>
      <c r="CO75">
        <v>0</v>
      </c>
      <c r="CP75">
        <f t="shared" si="27"/>
        <v>982.48</v>
      </c>
      <c r="CQ75">
        <f t="shared" si="28"/>
        <v>27.7704</v>
      </c>
      <c r="CR75">
        <f t="shared" si="29"/>
        <v>0</v>
      </c>
      <c r="CS75">
        <f t="shared" si="30"/>
        <v>0</v>
      </c>
      <c r="CT75">
        <f t="shared" si="31"/>
        <v>954.7063217999998</v>
      </c>
      <c r="CU75">
        <f t="shared" si="32"/>
        <v>0</v>
      </c>
      <c r="CV75">
        <f t="shared" si="33"/>
        <v>6.282</v>
      </c>
      <c r="CW75">
        <f t="shared" si="34"/>
        <v>0</v>
      </c>
      <c r="CX75">
        <f t="shared" si="35"/>
        <v>0</v>
      </c>
      <c r="CY75">
        <f t="shared" si="36"/>
        <v>916.5216</v>
      </c>
      <c r="CZ75">
        <f t="shared" si="37"/>
        <v>400.9782</v>
      </c>
      <c r="DN75">
        <v>112</v>
      </c>
      <c r="DO75">
        <v>70</v>
      </c>
      <c r="DP75">
        <v>1.047</v>
      </c>
      <c r="DQ75">
        <v>1</v>
      </c>
      <c r="DR75">
        <v>4.56</v>
      </c>
      <c r="DS75">
        <v>12.43264512606554</v>
      </c>
      <c r="DT75">
        <v>13.09</v>
      </c>
      <c r="DU75">
        <v>1010</v>
      </c>
      <c r="DV75" t="s">
        <v>22</v>
      </c>
      <c r="DW75" t="s">
        <v>22</v>
      </c>
      <c r="DX75">
        <v>1</v>
      </c>
      <c r="EE75">
        <v>18683890</v>
      </c>
      <c r="EF75">
        <v>40</v>
      </c>
      <c r="EG75" t="s">
        <v>27</v>
      </c>
      <c r="EH75">
        <v>0</v>
      </c>
      <c r="EJ75">
        <v>2</v>
      </c>
      <c r="EK75">
        <v>336</v>
      </c>
      <c r="EL75" t="s">
        <v>51</v>
      </c>
      <c r="EM75" t="s">
        <v>52</v>
      </c>
      <c r="EQ75">
        <v>64</v>
      </c>
      <c r="ER75">
        <v>75.75</v>
      </c>
      <c r="ES75">
        <v>6.09</v>
      </c>
      <c r="ET75">
        <v>0</v>
      </c>
      <c r="EU75">
        <v>0</v>
      </c>
      <c r="EV75">
        <v>69.66</v>
      </c>
      <c r="EW75">
        <v>6</v>
      </c>
      <c r="EX75">
        <v>0</v>
      </c>
      <c r="EY75">
        <v>0</v>
      </c>
      <c r="EZ75">
        <v>0</v>
      </c>
      <c r="FQ75">
        <v>0</v>
      </c>
      <c r="FR75">
        <f t="shared" si="38"/>
        <v>0</v>
      </c>
      <c r="FS75">
        <v>0</v>
      </c>
      <c r="FX75">
        <v>96</v>
      </c>
      <c r="FY75">
        <v>42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1</v>
      </c>
      <c r="GL75">
        <v>0</v>
      </c>
    </row>
    <row r="76" spans="1:194" ht="12.75">
      <c r="A76">
        <v>17</v>
      </c>
      <c r="B76">
        <v>1</v>
      </c>
      <c r="E76" t="s">
        <v>202</v>
      </c>
      <c r="F76" t="s">
        <v>203</v>
      </c>
      <c r="G76" t="s">
        <v>204</v>
      </c>
      <c r="H76" t="s">
        <v>205</v>
      </c>
      <c r="I76">
        <v>4</v>
      </c>
      <c r="J76">
        <v>0</v>
      </c>
      <c r="O76">
        <f t="shared" si="7"/>
        <v>2177.59</v>
      </c>
      <c r="P76">
        <f t="shared" si="8"/>
        <v>0</v>
      </c>
      <c r="Q76">
        <f t="shared" si="9"/>
        <v>2177.59</v>
      </c>
      <c r="R76">
        <f t="shared" si="10"/>
        <v>1346.18</v>
      </c>
      <c r="S76">
        <f t="shared" si="11"/>
        <v>0</v>
      </c>
      <c r="T76">
        <f t="shared" si="12"/>
        <v>0</v>
      </c>
      <c r="U76">
        <f t="shared" si="13"/>
        <v>0</v>
      </c>
      <c r="V76">
        <f t="shared" si="14"/>
        <v>0</v>
      </c>
      <c r="W76">
        <f t="shared" si="15"/>
        <v>0</v>
      </c>
      <c r="X76">
        <f t="shared" si="16"/>
        <v>0</v>
      </c>
      <c r="Y76">
        <f t="shared" si="17"/>
        <v>0</v>
      </c>
      <c r="AA76">
        <v>0</v>
      </c>
      <c r="AB76">
        <f t="shared" si="18"/>
        <v>108.23000000000002</v>
      </c>
      <c r="AC76">
        <f>(ES76)</f>
        <v>0</v>
      </c>
      <c r="AD76">
        <f>(((ET76)-(EU76))+AE76)</f>
        <v>108.23000000000002</v>
      </c>
      <c r="AE76">
        <f>(EU76)</f>
        <v>25.71</v>
      </c>
      <c r="AF76">
        <f>(EV76)</f>
        <v>0</v>
      </c>
      <c r="AG76">
        <f t="shared" si="23"/>
        <v>0</v>
      </c>
      <c r="AH76">
        <f>(EW76)</f>
        <v>0</v>
      </c>
      <c r="AI76">
        <f>(EX76)</f>
        <v>0</v>
      </c>
      <c r="AJ76">
        <f t="shared" si="26"/>
        <v>0</v>
      </c>
      <c r="AK76">
        <v>108.23</v>
      </c>
      <c r="AL76">
        <v>0</v>
      </c>
      <c r="AM76">
        <v>108.23</v>
      </c>
      <c r="AN76">
        <v>25.71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5.03</v>
      </c>
      <c r="AY76">
        <v>13.09</v>
      </c>
      <c r="AZ76">
        <v>13.09</v>
      </c>
      <c r="BA76">
        <v>13.09</v>
      </c>
      <c r="BB76">
        <v>5.03</v>
      </c>
      <c r="BC76">
        <v>1</v>
      </c>
      <c r="BH76">
        <v>2</v>
      </c>
      <c r="BI76">
        <v>2</v>
      </c>
      <c r="BJ76" t="s">
        <v>206</v>
      </c>
      <c r="BM76">
        <v>400001</v>
      </c>
      <c r="BN76">
        <v>0</v>
      </c>
      <c r="BO76" t="s">
        <v>203</v>
      </c>
      <c r="BP76">
        <v>1</v>
      </c>
      <c r="BQ76">
        <v>190</v>
      </c>
      <c r="BR76">
        <v>0</v>
      </c>
      <c r="BS76">
        <v>13.09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0</v>
      </c>
      <c r="CA76">
        <v>0</v>
      </c>
      <c r="CF76">
        <v>0</v>
      </c>
      <c r="CG76">
        <v>0</v>
      </c>
      <c r="CM76">
        <v>0</v>
      </c>
      <c r="CO76">
        <v>0</v>
      </c>
      <c r="CP76">
        <f t="shared" si="27"/>
        <v>2177.59</v>
      </c>
      <c r="CQ76">
        <f t="shared" si="28"/>
        <v>0</v>
      </c>
      <c r="CR76">
        <f t="shared" si="29"/>
        <v>544.3969000000001</v>
      </c>
      <c r="CS76">
        <f t="shared" si="30"/>
        <v>336.5439</v>
      </c>
      <c r="CT76">
        <f t="shared" si="31"/>
        <v>0</v>
      </c>
      <c r="CU76">
        <f t="shared" si="32"/>
        <v>0</v>
      </c>
      <c r="CV76">
        <f t="shared" si="33"/>
        <v>0</v>
      </c>
      <c r="CW76">
        <f t="shared" si="34"/>
        <v>0</v>
      </c>
      <c r="CX76">
        <f t="shared" si="35"/>
        <v>0</v>
      </c>
      <c r="CY76">
        <f t="shared" si="36"/>
        <v>0</v>
      </c>
      <c r="CZ76">
        <f t="shared" si="37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5.03</v>
      </c>
      <c r="DT76">
        <v>13.09</v>
      </c>
      <c r="DU76">
        <v>1011</v>
      </c>
      <c r="DV76" t="s">
        <v>205</v>
      </c>
      <c r="DW76" t="s">
        <v>205</v>
      </c>
      <c r="DX76">
        <v>1</v>
      </c>
      <c r="EE76">
        <v>18685238</v>
      </c>
      <c r="EF76">
        <v>190</v>
      </c>
      <c r="EG76" t="s">
        <v>207</v>
      </c>
      <c r="EH76">
        <v>0</v>
      </c>
      <c r="EJ76">
        <v>1</v>
      </c>
      <c r="EK76">
        <v>400001</v>
      </c>
      <c r="EL76" t="s">
        <v>208</v>
      </c>
      <c r="EM76" t="s">
        <v>209</v>
      </c>
      <c r="EQ76">
        <v>0</v>
      </c>
      <c r="ER76">
        <v>108.23</v>
      </c>
      <c r="ES76">
        <v>0</v>
      </c>
      <c r="ET76">
        <v>108.23</v>
      </c>
      <c r="EU76">
        <v>25.71</v>
      </c>
      <c r="EV76">
        <v>0</v>
      </c>
      <c r="EW76">
        <v>0</v>
      </c>
      <c r="EX76">
        <v>0</v>
      </c>
      <c r="EY76">
        <v>0</v>
      </c>
      <c r="EZ76">
        <v>0</v>
      </c>
      <c r="FQ76">
        <v>0</v>
      </c>
      <c r="FR76">
        <f t="shared" si="38"/>
        <v>0</v>
      </c>
      <c r="FS76">
        <v>0</v>
      </c>
      <c r="FX76">
        <v>0</v>
      </c>
      <c r="FY76">
        <v>0</v>
      </c>
      <c r="GA76">
        <v>108.23</v>
      </c>
      <c r="GB76">
        <v>0</v>
      </c>
      <c r="GC76">
        <v>108.23</v>
      </c>
      <c r="GD76">
        <v>25.71</v>
      </c>
      <c r="GE76">
        <v>0</v>
      </c>
      <c r="GF76">
        <v>108.23</v>
      </c>
      <c r="GG76">
        <v>0</v>
      </c>
      <c r="GH76">
        <v>108.23</v>
      </c>
      <c r="GI76">
        <v>25.71</v>
      </c>
      <c r="GJ76">
        <v>0</v>
      </c>
      <c r="GK76">
        <v>0</v>
      </c>
      <c r="GL76">
        <v>0</v>
      </c>
    </row>
    <row r="78" spans="1:43" ht="12.75">
      <c r="A78" s="2">
        <v>51</v>
      </c>
      <c r="B78" s="2">
        <f>B49</f>
        <v>1</v>
      </c>
      <c r="C78" s="2">
        <f>A49</f>
        <v>4</v>
      </c>
      <c r="D78" s="2">
        <f>ROW(A49)</f>
        <v>49</v>
      </c>
      <c r="E78" s="2"/>
      <c r="F78" s="2" t="str">
        <f>IF(F49&lt;&gt;"",F49,"")</f>
        <v>Новый раздел</v>
      </c>
      <c r="G78" s="2" t="str">
        <f>IF(G49&lt;&gt;"",G49,"")</f>
        <v>Монтажные работы</v>
      </c>
      <c r="H78" s="2"/>
      <c r="I78" s="2"/>
      <c r="J78" s="2"/>
      <c r="K78" s="2"/>
      <c r="L78" s="2"/>
      <c r="M78" s="2"/>
      <c r="N78" s="2"/>
      <c r="O78" s="2">
        <f aca="true" t="shared" si="44" ref="O78:Y78">ROUND(AB78,2)</f>
        <v>50167.02</v>
      </c>
      <c r="P78" s="2">
        <f t="shared" si="44"/>
        <v>1528.87</v>
      </c>
      <c r="Q78" s="2">
        <f t="shared" si="44"/>
        <v>20542.65</v>
      </c>
      <c r="R78" s="2">
        <f t="shared" si="44"/>
        <v>8660.8</v>
      </c>
      <c r="S78" s="2">
        <f t="shared" si="44"/>
        <v>28095.5</v>
      </c>
      <c r="T78" s="2">
        <f t="shared" si="44"/>
        <v>0</v>
      </c>
      <c r="U78" s="2">
        <f t="shared" si="44"/>
        <v>159.34</v>
      </c>
      <c r="V78" s="2">
        <f t="shared" si="44"/>
        <v>0</v>
      </c>
      <c r="W78" s="2">
        <f t="shared" si="44"/>
        <v>0</v>
      </c>
      <c r="X78" s="2">
        <f t="shared" si="44"/>
        <v>27014.21</v>
      </c>
      <c r="Y78" s="2">
        <f t="shared" si="44"/>
        <v>11841.31</v>
      </c>
      <c r="Z78" s="2"/>
      <c r="AA78" s="2"/>
      <c r="AB78" s="2">
        <f>ROUND(SUMIF(AA53:AA76,"=0",O53:O76),2)</f>
        <v>50167.02</v>
      </c>
      <c r="AC78" s="2">
        <f>ROUND(SUMIF(AA53:AA76,"=0",P53:P76),2)</f>
        <v>1528.87</v>
      </c>
      <c r="AD78" s="2">
        <f>ROUND(SUMIF(AA53:AA76,"=0",Q53:Q76),2)</f>
        <v>20542.65</v>
      </c>
      <c r="AE78" s="2">
        <f>ROUND(SUMIF(AA53:AA76,"=0",R53:R76),2)</f>
        <v>8660.8</v>
      </c>
      <c r="AF78" s="2">
        <f>ROUND(SUMIF(AA53:AA76,"=0",S53:S76),2)</f>
        <v>28095.5</v>
      </c>
      <c r="AG78" s="2">
        <f>ROUND(SUMIF(AA53:AA76,"=0",T53:T76),2)</f>
        <v>0</v>
      </c>
      <c r="AH78" s="2">
        <f>ROUND(SUMIF(AA53:AA76,"=0",U53:U76),2)</f>
        <v>159.34</v>
      </c>
      <c r="AI78" s="2">
        <f>ROUND(SUMIF(AA53:AA76,"=0",V53:V76),2)</f>
        <v>0</v>
      </c>
      <c r="AJ78" s="2">
        <f>ROUND(SUMIF(AA53:AA76,"=0",W53:W76),2)</f>
        <v>0</v>
      </c>
      <c r="AK78" s="2">
        <f>ROUND(SUMIF(AA53:AA76,"=0",X53:X76),2)</f>
        <v>27014.21</v>
      </c>
      <c r="AL78" s="2">
        <f>ROUND(SUMIF(AA53:AA76,"=0",Y53:Y76),2)</f>
        <v>11841.31</v>
      </c>
      <c r="AM78" s="2"/>
      <c r="AN78" s="2">
        <f>ROUND(AO78,2)</f>
        <v>0</v>
      </c>
      <c r="AO78" s="2">
        <f>ROUND(SUMIF(AA53:AA76,"=0",FQ53:FQ76),2)</f>
        <v>0</v>
      </c>
      <c r="AP78" s="2">
        <f>ROUND(AQ78,2)</f>
        <v>0</v>
      </c>
      <c r="AQ78" s="2">
        <f>ROUND(SUM(FR53:FR76),2)</f>
        <v>0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201</v>
      </c>
      <c r="F80" s="3">
        <f>Source!O78</f>
        <v>50167.02</v>
      </c>
      <c r="G80" s="3" t="s">
        <v>53</v>
      </c>
      <c r="H80" s="3" t="s">
        <v>54</v>
      </c>
      <c r="I80" s="3"/>
      <c r="J80" s="3"/>
      <c r="K80" s="3">
        <v>201</v>
      </c>
      <c r="L80" s="3">
        <v>1</v>
      </c>
      <c r="M80" s="3">
        <v>3</v>
      </c>
      <c r="N80" s="3" t="s">
        <v>6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202</v>
      </c>
      <c r="F81" s="3">
        <f>Source!P78</f>
        <v>1528.87</v>
      </c>
      <c r="G81" s="3" t="s">
        <v>55</v>
      </c>
      <c r="H81" s="3" t="s">
        <v>56</v>
      </c>
      <c r="I81" s="3"/>
      <c r="J81" s="3"/>
      <c r="K81" s="3">
        <v>202</v>
      </c>
      <c r="L81" s="3">
        <v>2</v>
      </c>
      <c r="M81" s="3">
        <v>3</v>
      </c>
      <c r="N81" s="3" t="s">
        <v>6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222</v>
      </c>
      <c r="F82" s="3">
        <f>Source!AN78</f>
        <v>0</v>
      </c>
      <c r="G82" s="3" t="s">
        <v>57</v>
      </c>
      <c r="H82" s="3" t="s">
        <v>58</v>
      </c>
      <c r="I82" s="3"/>
      <c r="J82" s="3"/>
      <c r="K82" s="3">
        <v>222</v>
      </c>
      <c r="L82" s="3">
        <v>3</v>
      </c>
      <c r="M82" s="3">
        <v>3</v>
      </c>
      <c r="N82" s="3" t="s">
        <v>6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216</v>
      </c>
      <c r="F83" s="3">
        <f>Source!AP78</f>
        <v>0</v>
      </c>
      <c r="G83" s="3" t="s">
        <v>59</v>
      </c>
      <c r="H83" s="3" t="s">
        <v>60</v>
      </c>
      <c r="I83" s="3"/>
      <c r="J83" s="3"/>
      <c r="K83" s="3">
        <v>216</v>
      </c>
      <c r="L83" s="3">
        <v>4</v>
      </c>
      <c r="M83" s="3">
        <v>3</v>
      </c>
      <c r="N83" s="3" t="s">
        <v>6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203</v>
      </c>
      <c r="F84" s="3">
        <f>Source!Q78</f>
        <v>20542.65</v>
      </c>
      <c r="G84" s="3" t="s">
        <v>61</v>
      </c>
      <c r="H84" s="3" t="s">
        <v>62</v>
      </c>
      <c r="I84" s="3"/>
      <c r="J84" s="3"/>
      <c r="K84" s="3">
        <v>203</v>
      </c>
      <c r="L84" s="3">
        <v>6</v>
      </c>
      <c r="M84" s="3">
        <v>3</v>
      </c>
      <c r="N84" s="3" t="s">
        <v>6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204</v>
      </c>
      <c r="F85" s="3">
        <f>Source!R78</f>
        <v>8660.8</v>
      </c>
      <c r="G85" s="3" t="s">
        <v>63</v>
      </c>
      <c r="H85" s="3" t="s">
        <v>64</v>
      </c>
      <c r="I85" s="3"/>
      <c r="J85" s="3"/>
      <c r="K85" s="3">
        <v>204</v>
      </c>
      <c r="L85" s="3">
        <v>7</v>
      </c>
      <c r="M85" s="3">
        <v>3</v>
      </c>
      <c r="N85" s="3" t="s">
        <v>6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205</v>
      </c>
      <c r="F86" s="3">
        <f>Source!S78</f>
        <v>28095.5</v>
      </c>
      <c r="G86" s="3" t="s">
        <v>65</v>
      </c>
      <c r="H86" s="3" t="s">
        <v>66</v>
      </c>
      <c r="I86" s="3"/>
      <c r="J86" s="3"/>
      <c r="K86" s="3">
        <v>205</v>
      </c>
      <c r="L86" s="3">
        <v>8</v>
      </c>
      <c r="M86" s="3">
        <v>3</v>
      </c>
      <c r="N86" s="3" t="s">
        <v>6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206</v>
      </c>
      <c r="F87" s="3">
        <f>Source!T78</f>
        <v>0</v>
      </c>
      <c r="G87" s="3" t="s">
        <v>67</v>
      </c>
      <c r="H87" s="3" t="s">
        <v>68</v>
      </c>
      <c r="I87" s="3"/>
      <c r="J87" s="3"/>
      <c r="K87" s="3">
        <v>206</v>
      </c>
      <c r="L87" s="3">
        <v>12</v>
      </c>
      <c r="M87" s="3">
        <v>3</v>
      </c>
      <c r="N87" s="3" t="s">
        <v>6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207</v>
      </c>
      <c r="F88" s="3">
        <f>Source!U78</f>
        <v>159.34</v>
      </c>
      <c r="G88" s="3" t="s">
        <v>69</v>
      </c>
      <c r="H88" s="3" t="s">
        <v>70</v>
      </c>
      <c r="I88" s="3"/>
      <c r="J88" s="3"/>
      <c r="K88" s="3">
        <v>207</v>
      </c>
      <c r="L88" s="3">
        <v>13</v>
      </c>
      <c r="M88" s="3">
        <v>3</v>
      </c>
      <c r="N88" s="3" t="s">
        <v>6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208</v>
      </c>
      <c r="F89" s="3">
        <f>Source!V78</f>
        <v>0</v>
      </c>
      <c r="G89" s="3" t="s">
        <v>71</v>
      </c>
      <c r="H89" s="3" t="s">
        <v>72</v>
      </c>
      <c r="I89" s="3"/>
      <c r="J89" s="3"/>
      <c r="K89" s="3">
        <v>208</v>
      </c>
      <c r="L89" s="3">
        <v>14</v>
      </c>
      <c r="M89" s="3">
        <v>3</v>
      </c>
      <c r="N89" s="3" t="s">
        <v>6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209</v>
      </c>
      <c r="F90" s="3">
        <f>Source!W78</f>
        <v>0</v>
      </c>
      <c r="G90" s="3" t="s">
        <v>73</v>
      </c>
      <c r="H90" s="3" t="s">
        <v>74</v>
      </c>
      <c r="I90" s="3"/>
      <c r="J90" s="3"/>
      <c r="K90" s="3">
        <v>209</v>
      </c>
      <c r="L90" s="3">
        <v>15</v>
      </c>
      <c r="M90" s="3">
        <v>3</v>
      </c>
      <c r="N90" s="3" t="s">
        <v>6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210</v>
      </c>
      <c r="F91" s="3">
        <f>Source!X78</f>
        <v>27014.21</v>
      </c>
      <c r="G91" s="3" t="s">
        <v>75</v>
      </c>
      <c r="H91" s="3" t="s">
        <v>76</v>
      </c>
      <c r="I91" s="3"/>
      <c r="J91" s="3"/>
      <c r="K91" s="3">
        <v>210</v>
      </c>
      <c r="L91" s="3">
        <v>16</v>
      </c>
      <c r="M91" s="3">
        <v>3</v>
      </c>
      <c r="N91" s="3" t="s">
        <v>6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211</v>
      </c>
      <c r="F92" s="3">
        <f>Source!Y78</f>
        <v>11841.31</v>
      </c>
      <c r="G92" s="3" t="s">
        <v>77</v>
      </c>
      <c r="H92" s="3" t="s">
        <v>78</v>
      </c>
      <c r="I92" s="3"/>
      <c r="J92" s="3"/>
      <c r="K92" s="3">
        <v>211</v>
      </c>
      <c r="L92" s="3">
        <v>17</v>
      </c>
      <c r="M92" s="3">
        <v>3</v>
      </c>
      <c r="N92" s="3" t="s">
        <v>6</v>
      </c>
    </row>
    <row r="93" ht="12.75">
      <c r="G93">
        <v>0</v>
      </c>
    </row>
    <row r="94" spans="1:67" ht="12.75">
      <c r="A94" s="1">
        <v>4</v>
      </c>
      <c r="B94" s="1">
        <v>1</v>
      </c>
      <c r="C94" s="1"/>
      <c r="D94" s="1">
        <f>ROW(A115)</f>
        <v>115</v>
      </c>
      <c r="E94" s="1"/>
      <c r="F94" s="1" t="s">
        <v>16</v>
      </c>
      <c r="G94" s="1" t="s">
        <v>210</v>
      </c>
      <c r="H94" s="1"/>
      <c r="I94" s="1"/>
      <c r="J94" s="1"/>
      <c r="K94" s="1"/>
      <c r="L94" s="1"/>
      <c r="M94" s="1"/>
      <c r="N94" s="1" t="s">
        <v>6</v>
      </c>
      <c r="O94" s="1"/>
      <c r="P94" s="1"/>
      <c r="Q94" s="1"/>
      <c r="R94" s="1" t="s">
        <v>6</v>
      </c>
      <c r="S94" s="1" t="s">
        <v>6</v>
      </c>
      <c r="T94" s="1" t="s">
        <v>6</v>
      </c>
      <c r="U94" s="1" t="s">
        <v>6</v>
      </c>
      <c r="V94" s="1"/>
      <c r="W94" s="1"/>
      <c r="X94" s="1">
        <v>0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>
        <v>0</v>
      </c>
      <c r="AM94" s="1"/>
      <c r="AN94" s="1"/>
      <c r="AO94" s="1" t="s">
        <v>6</v>
      </c>
      <c r="AP94" s="1" t="s">
        <v>6</v>
      </c>
      <c r="AQ94" s="1" t="s">
        <v>6</v>
      </c>
      <c r="AR94" s="1"/>
      <c r="AS94" s="1"/>
      <c r="AT94" s="1" t="s">
        <v>6</v>
      </c>
      <c r="AU94" s="1" t="s">
        <v>6</v>
      </c>
      <c r="AV94" s="1" t="s">
        <v>6</v>
      </c>
      <c r="AW94" s="1" t="s">
        <v>6</v>
      </c>
      <c r="AX94" s="1" t="s">
        <v>6</v>
      </c>
      <c r="AY94" s="1" t="s">
        <v>6</v>
      </c>
      <c r="AZ94" s="1" t="s">
        <v>6</v>
      </c>
      <c r="BA94" s="1" t="s">
        <v>6</v>
      </c>
      <c r="BB94" s="1" t="s">
        <v>6</v>
      </c>
      <c r="BC94" s="1" t="s">
        <v>6</v>
      </c>
      <c r="BD94" s="1" t="s">
        <v>6</v>
      </c>
      <c r="BE94" s="1" t="s">
        <v>211</v>
      </c>
      <c r="BF94" s="1">
        <v>0</v>
      </c>
      <c r="BG94" s="1">
        <v>0</v>
      </c>
      <c r="BH94" s="1" t="s">
        <v>6</v>
      </c>
      <c r="BI94" s="1" t="s">
        <v>6</v>
      </c>
      <c r="BJ94" s="1" t="s">
        <v>6</v>
      </c>
      <c r="BK94" s="1" t="s">
        <v>6</v>
      </c>
      <c r="BL94" s="1" t="s">
        <v>6</v>
      </c>
      <c r="BM94" s="1">
        <v>0</v>
      </c>
      <c r="BN94" s="1" t="s">
        <v>6</v>
      </c>
      <c r="BO94" s="1">
        <v>0</v>
      </c>
    </row>
    <row r="96" spans="1:43" ht="12.75">
      <c r="A96" s="2">
        <v>52</v>
      </c>
      <c r="B96" s="2">
        <f aca="true" t="shared" si="45" ref="B96:AQ96">B115</f>
        <v>1</v>
      </c>
      <c r="C96" s="2">
        <f t="shared" si="45"/>
        <v>4</v>
      </c>
      <c r="D96" s="2">
        <f t="shared" si="45"/>
        <v>94</v>
      </c>
      <c r="E96" s="2">
        <f t="shared" si="45"/>
        <v>0</v>
      </c>
      <c r="F96" s="2" t="str">
        <f t="shared" si="45"/>
        <v>Новый раздел</v>
      </c>
      <c r="G96" s="2" t="str">
        <f t="shared" si="45"/>
        <v>Материалы , не учтенные сборниками</v>
      </c>
      <c r="H96" s="2">
        <f t="shared" si="45"/>
        <v>0</v>
      </c>
      <c r="I96" s="2">
        <f t="shared" si="45"/>
        <v>0</v>
      </c>
      <c r="J96" s="2">
        <f t="shared" si="45"/>
        <v>0</v>
      </c>
      <c r="K96" s="2">
        <f t="shared" si="45"/>
        <v>0</v>
      </c>
      <c r="L96" s="2">
        <f t="shared" si="45"/>
        <v>0</v>
      </c>
      <c r="M96" s="2">
        <f t="shared" si="45"/>
        <v>0</v>
      </c>
      <c r="N96" s="2">
        <f t="shared" si="45"/>
        <v>0</v>
      </c>
      <c r="O96" s="2">
        <f t="shared" si="45"/>
        <v>92237.19</v>
      </c>
      <c r="P96" s="2">
        <f t="shared" si="45"/>
        <v>92237.19</v>
      </c>
      <c r="Q96" s="2">
        <f t="shared" si="45"/>
        <v>0</v>
      </c>
      <c r="R96" s="2">
        <f t="shared" si="45"/>
        <v>0</v>
      </c>
      <c r="S96" s="2">
        <f t="shared" si="45"/>
        <v>0</v>
      </c>
      <c r="T96" s="2">
        <f t="shared" si="45"/>
        <v>0</v>
      </c>
      <c r="U96" s="2">
        <f t="shared" si="45"/>
        <v>0</v>
      </c>
      <c r="V96" s="2">
        <f t="shared" si="45"/>
        <v>0</v>
      </c>
      <c r="W96" s="2">
        <f t="shared" si="45"/>
        <v>0</v>
      </c>
      <c r="X96" s="2">
        <f t="shared" si="45"/>
        <v>0</v>
      </c>
      <c r="Y96" s="2">
        <f t="shared" si="45"/>
        <v>0</v>
      </c>
      <c r="Z96" s="2">
        <f t="shared" si="45"/>
        <v>0</v>
      </c>
      <c r="AA96" s="2">
        <f t="shared" si="45"/>
        <v>0</v>
      </c>
      <c r="AB96" s="2">
        <f t="shared" si="45"/>
        <v>92237.19</v>
      </c>
      <c r="AC96" s="2">
        <f t="shared" si="45"/>
        <v>92237.19</v>
      </c>
      <c r="AD96" s="2">
        <f t="shared" si="45"/>
        <v>0</v>
      </c>
      <c r="AE96" s="2">
        <f t="shared" si="45"/>
        <v>0</v>
      </c>
      <c r="AF96" s="2">
        <f t="shared" si="45"/>
        <v>0</v>
      </c>
      <c r="AG96" s="2">
        <f t="shared" si="45"/>
        <v>0</v>
      </c>
      <c r="AH96" s="2">
        <f t="shared" si="45"/>
        <v>0</v>
      </c>
      <c r="AI96" s="2">
        <f t="shared" si="45"/>
        <v>0</v>
      </c>
      <c r="AJ96" s="2">
        <f t="shared" si="45"/>
        <v>0</v>
      </c>
      <c r="AK96" s="2">
        <f t="shared" si="45"/>
        <v>0</v>
      </c>
      <c r="AL96" s="2">
        <f t="shared" si="45"/>
        <v>0</v>
      </c>
      <c r="AM96" s="2">
        <f t="shared" si="45"/>
        <v>0</v>
      </c>
      <c r="AN96" s="2">
        <f t="shared" si="45"/>
        <v>0</v>
      </c>
      <c r="AO96" s="2">
        <f t="shared" si="45"/>
        <v>0</v>
      </c>
      <c r="AP96" s="2">
        <f t="shared" si="45"/>
        <v>0</v>
      </c>
      <c r="AQ96" s="2">
        <f t="shared" si="45"/>
        <v>0</v>
      </c>
    </row>
    <row r="98" spans="1:194" ht="12.75">
      <c r="A98">
        <v>17</v>
      </c>
      <c r="B98">
        <v>1</v>
      </c>
      <c r="E98" t="s">
        <v>212</v>
      </c>
      <c r="F98" t="s">
        <v>213</v>
      </c>
      <c r="G98" t="s">
        <v>214</v>
      </c>
      <c r="H98" t="s">
        <v>22</v>
      </c>
      <c r="I98">
        <v>4</v>
      </c>
      <c r="J98">
        <v>0</v>
      </c>
      <c r="O98">
        <f aca="true" t="shared" si="46" ref="O98:O113">ROUND(CP98,2)</f>
        <v>187.93</v>
      </c>
      <c r="P98">
        <f aca="true" t="shared" si="47" ref="P98:P113">ROUND(CQ98*I98,2)</f>
        <v>187.93</v>
      </c>
      <c r="Q98">
        <f aca="true" t="shared" si="48" ref="Q98:Q113">ROUND(CR98*I98,2)</f>
        <v>0</v>
      </c>
      <c r="R98">
        <f aca="true" t="shared" si="49" ref="R98:R113">ROUND(CS98*I98,2)</f>
        <v>0</v>
      </c>
      <c r="S98">
        <f aca="true" t="shared" si="50" ref="S98:S113">ROUND(CT98*I98,2)</f>
        <v>0</v>
      </c>
      <c r="T98">
        <f aca="true" t="shared" si="51" ref="T98:T113">ROUND(CU98*I98,2)</f>
        <v>0</v>
      </c>
      <c r="U98">
        <f aca="true" t="shared" si="52" ref="U98:U113">CV98*I98</f>
        <v>0</v>
      </c>
      <c r="V98">
        <f aca="true" t="shared" si="53" ref="V98:V113">CW98*I98</f>
        <v>0</v>
      </c>
      <c r="W98">
        <f aca="true" t="shared" si="54" ref="W98:W113">ROUND(CX98*I98,2)</f>
        <v>0</v>
      </c>
      <c r="X98">
        <f aca="true" t="shared" si="55" ref="X98:X113">ROUND(CY98,2)</f>
        <v>0</v>
      </c>
      <c r="Y98">
        <f aca="true" t="shared" si="56" ref="Y98:Y113">ROUND(CZ98,2)</f>
        <v>0</v>
      </c>
      <c r="AA98">
        <v>0</v>
      </c>
      <c r="AB98">
        <f aca="true" t="shared" si="57" ref="AB98:AB113">(AC98+AD98+AF98)</f>
        <v>18.21</v>
      </c>
      <c r="AC98">
        <f aca="true" t="shared" si="58" ref="AC98:AC113">(ES98)</f>
        <v>18.21</v>
      </c>
      <c r="AD98">
        <f aca="true" t="shared" si="59" ref="AD98:AD113">(((ET98)-(EU98))+AE98)</f>
        <v>0</v>
      </c>
      <c r="AE98">
        <f aca="true" t="shared" si="60" ref="AE98:AE113">(EU98)</f>
        <v>0</v>
      </c>
      <c r="AF98">
        <f aca="true" t="shared" si="61" ref="AF98:AF113">(EV98)</f>
        <v>0</v>
      </c>
      <c r="AG98">
        <f aca="true" t="shared" si="62" ref="AG98:AG113">(AP98)</f>
        <v>0</v>
      </c>
      <c r="AH98">
        <f aca="true" t="shared" si="63" ref="AH98:AH113">(EW98)</f>
        <v>0</v>
      </c>
      <c r="AI98">
        <f aca="true" t="shared" si="64" ref="AI98:AI113">(EX98)</f>
        <v>0</v>
      </c>
      <c r="AJ98">
        <f aca="true" t="shared" si="65" ref="AJ98:AJ113">(AS98)</f>
        <v>0</v>
      </c>
      <c r="AK98">
        <v>18.21</v>
      </c>
      <c r="AL98">
        <v>18.21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X98">
        <v>2.5799999999999996</v>
      </c>
      <c r="AY98">
        <v>1</v>
      </c>
      <c r="AZ98">
        <v>1</v>
      </c>
      <c r="BA98">
        <v>1</v>
      </c>
      <c r="BB98">
        <v>1</v>
      </c>
      <c r="BC98">
        <v>2.58</v>
      </c>
      <c r="BH98">
        <v>3</v>
      </c>
      <c r="BI98">
        <v>2</v>
      </c>
      <c r="BJ98" t="s">
        <v>215</v>
      </c>
      <c r="BM98">
        <v>1618</v>
      </c>
      <c r="BN98">
        <v>0</v>
      </c>
      <c r="BO98" t="s">
        <v>213</v>
      </c>
      <c r="BP98">
        <v>1</v>
      </c>
      <c r="BQ98">
        <v>201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0</v>
      </c>
      <c r="CA98">
        <v>0</v>
      </c>
      <c r="CF98">
        <v>0</v>
      </c>
      <c r="CG98">
        <v>0</v>
      </c>
      <c r="CM98">
        <v>0</v>
      </c>
      <c r="CO98">
        <v>0</v>
      </c>
      <c r="CP98">
        <f aca="true" t="shared" si="66" ref="CP98:CP113">(P98+Q98+S98)</f>
        <v>187.93</v>
      </c>
      <c r="CQ98">
        <f aca="true" t="shared" si="67" ref="CQ98:CQ113">((AC98*AW98))*BC98</f>
        <v>46.98180000000001</v>
      </c>
      <c r="CR98">
        <f aca="true" t="shared" si="68" ref="CR98:CR113">((AD98*AV98))*BB98</f>
        <v>0</v>
      </c>
      <c r="CS98">
        <f aca="true" t="shared" si="69" ref="CS98:CS113">((AE98*AV98))*BS98</f>
        <v>0</v>
      </c>
      <c r="CT98">
        <f aca="true" t="shared" si="70" ref="CT98:CT113">((AF98*AV98))*BA98</f>
        <v>0</v>
      </c>
      <c r="CU98">
        <f aca="true" t="shared" si="71" ref="CU98:CU113">(AG98)*BT98</f>
        <v>0</v>
      </c>
      <c r="CV98">
        <f aca="true" t="shared" si="72" ref="CV98:CV113">((AH98*AV98))*BU98</f>
        <v>0</v>
      </c>
      <c r="CW98">
        <f aca="true" t="shared" si="73" ref="CW98:CW113">(AI98)*BV98</f>
        <v>0</v>
      </c>
      <c r="CX98">
        <f aca="true" t="shared" si="74" ref="CX98:CX113">(AJ98)*BW98</f>
        <v>0</v>
      </c>
      <c r="CY98">
        <f aca="true" t="shared" si="75" ref="CY98:CY113">S98*(BZ98/100)</f>
        <v>0</v>
      </c>
      <c r="CZ98">
        <f aca="true" t="shared" si="76" ref="CZ98:CZ113">S98*(CA98/100)</f>
        <v>0</v>
      </c>
      <c r="DN98">
        <v>0</v>
      </c>
      <c r="DO98">
        <v>0</v>
      </c>
      <c r="DP98">
        <v>1</v>
      </c>
      <c r="DQ98">
        <v>1</v>
      </c>
      <c r="DR98">
        <v>2.58</v>
      </c>
      <c r="DS98">
        <v>2.5799999999999996</v>
      </c>
      <c r="DT98">
        <v>1</v>
      </c>
      <c r="DU98">
        <v>1010</v>
      </c>
      <c r="DV98" t="s">
        <v>22</v>
      </c>
      <c r="DW98" t="s">
        <v>22</v>
      </c>
      <c r="DX98">
        <v>1</v>
      </c>
      <c r="EE98">
        <v>18685172</v>
      </c>
      <c r="EF98">
        <v>201</v>
      </c>
      <c r="EG98" t="s">
        <v>216</v>
      </c>
      <c r="EH98">
        <v>0</v>
      </c>
      <c r="EJ98">
        <v>2</v>
      </c>
      <c r="EK98">
        <v>1618</v>
      </c>
      <c r="EL98" t="s">
        <v>217</v>
      </c>
      <c r="EM98" t="s">
        <v>218</v>
      </c>
      <c r="EQ98">
        <v>0</v>
      </c>
      <c r="ER98">
        <v>18.21</v>
      </c>
      <c r="ES98">
        <v>18.21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Q98">
        <v>0</v>
      </c>
      <c r="FR98">
        <f aca="true" t="shared" si="77" ref="FR98:FR113">ROUND(IF(AND(AA98=0,BI98=3),P98,0),2)</f>
        <v>0</v>
      </c>
      <c r="FS98">
        <v>0</v>
      </c>
      <c r="FX98">
        <v>0</v>
      </c>
      <c r="FY98">
        <v>0</v>
      </c>
      <c r="GA98">
        <v>18.21</v>
      </c>
      <c r="GB98">
        <v>18.21</v>
      </c>
      <c r="GC98">
        <v>0</v>
      </c>
      <c r="GD98">
        <v>0</v>
      </c>
      <c r="GE98">
        <v>0</v>
      </c>
      <c r="GF98">
        <v>18.21</v>
      </c>
      <c r="GG98">
        <v>18.21</v>
      </c>
      <c r="GH98">
        <v>0</v>
      </c>
      <c r="GI98">
        <v>0</v>
      </c>
      <c r="GJ98">
        <v>0</v>
      </c>
      <c r="GK98">
        <v>0</v>
      </c>
      <c r="GL98">
        <v>0</v>
      </c>
    </row>
    <row r="99" spans="1:194" ht="12.75">
      <c r="A99">
        <v>17</v>
      </c>
      <c r="B99">
        <v>1</v>
      </c>
      <c r="E99" t="s">
        <v>219</v>
      </c>
      <c r="F99" t="s">
        <v>220</v>
      </c>
      <c r="G99" t="s">
        <v>221</v>
      </c>
      <c r="H99" t="s">
        <v>222</v>
      </c>
      <c r="I99">
        <v>1</v>
      </c>
      <c r="J99">
        <v>0</v>
      </c>
      <c r="O99">
        <f t="shared" si="46"/>
        <v>74339</v>
      </c>
      <c r="P99">
        <f t="shared" si="47"/>
        <v>74339</v>
      </c>
      <c r="Q99">
        <f t="shared" si="48"/>
        <v>0</v>
      </c>
      <c r="R99">
        <f t="shared" si="49"/>
        <v>0</v>
      </c>
      <c r="S99">
        <f t="shared" si="50"/>
        <v>0</v>
      </c>
      <c r="T99">
        <f t="shared" si="51"/>
        <v>0</v>
      </c>
      <c r="U99">
        <f t="shared" si="52"/>
        <v>0</v>
      </c>
      <c r="V99">
        <f t="shared" si="53"/>
        <v>0</v>
      </c>
      <c r="W99">
        <f t="shared" si="54"/>
        <v>0</v>
      </c>
      <c r="X99">
        <f t="shared" si="55"/>
        <v>0</v>
      </c>
      <c r="Y99">
        <f t="shared" si="56"/>
        <v>0</v>
      </c>
      <c r="AA99">
        <v>0</v>
      </c>
      <c r="AB99">
        <f t="shared" si="57"/>
        <v>17450.47</v>
      </c>
      <c r="AC99">
        <f t="shared" si="58"/>
        <v>17450.47</v>
      </c>
      <c r="AD99">
        <f t="shared" si="59"/>
        <v>0</v>
      </c>
      <c r="AE99">
        <f t="shared" si="60"/>
        <v>0</v>
      </c>
      <c r="AF99">
        <f t="shared" si="61"/>
        <v>0</v>
      </c>
      <c r="AG99">
        <f t="shared" si="62"/>
        <v>0</v>
      </c>
      <c r="AH99">
        <f t="shared" si="63"/>
        <v>0</v>
      </c>
      <c r="AI99">
        <f t="shared" si="64"/>
        <v>0</v>
      </c>
      <c r="AJ99">
        <f t="shared" si="65"/>
        <v>0</v>
      </c>
      <c r="AK99">
        <v>17450.47</v>
      </c>
      <c r="AL99">
        <v>17450.47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X99">
        <v>4.26</v>
      </c>
      <c r="AY99">
        <v>1</v>
      </c>
      <c r="AZ99">
        <v>1</v>
      </c>
      <c r="BA99">
        <v>1</v>
      </c>
      <c r="BB99">
        <v>1</v>
      </c>
      <c r="BC99">
        <v>4.26</v>
      </c>
      <c r="BH99">
        <v>3</v>
      </c>
      <c r="BI99">
        <v>2</v>
      </c>
      <c r="BM99">
        <v>0</v>
      </c>
      <c r="BN99">
        <v>0</v>
      </c>
      <c r="BP99">
        <v>0</v>
      </c>
      <c r="BQ99">
        <v>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F99">
        <v>0</v>
      </c>
      <c r="CG99">
        <v>0</v>
      </c>
      <c r="CM99">
        <v>0</v>
      </c>
      <c r="CO99">
        <v>0</v>
      </c>
      <c r="CP99">
        <f t="shared" si="66"/>
        <v>74339</v>
      </c>
      <c r="CQ99">
        <f t="shared" si="67"/>
        <v>74339.0022</v>
      </c>
      <c r="CR99">
        <f t="shared" si="68"/>
        <v>0</v>
      </c>
      <c r="CS99">
        <f t="shared" si="69"/>
        <v>0</v>
      </c>
      <c r="CT99">
        <f t="shared" si="70"/>
        <v>0</v>
      </c>
      <c r="CU99">
        <f t="shared" si="71"/>
        <v>0</v>
      </c>
      <c r="CV99">
        <f t="shared" si="72"/>
        <v>0</v>
      </c>
      <c r="CW99">
        <f t="shared" si="73"/>
        <v>0</v>
      </c>
      <c r="CX99">
        <f t="shared" si="74"/>
        <v>0</v>
      </c>
      <c r="CY99">
        <f t="shared" si="75"/>
        <v>0</v>
      </c>
      <c r="CZ99">
        <f t="shared" si="76"/>
        <v>0</v>
      </c>
      <c r="DN99">
        <v>0</v>
      </c>
      <c r="DO99">
        <v>0</v>
      </c>
      <c r="DP99">
        <v>1</v>
      </c>
      <c r="DQ99">
        <v>1</v>
      </c>
      <c r="DR99">
        <v>4.26</v>
      </c>
      <c r="DS99">
        <v>4.26</v>
      </c>
      <c r="DT99">
        <v>1</v>
      </c>
      <c r="DU99">
        <v>1013</v>
      </c>
      <c r="DV99" t="s">
        <v>222</v>
      </c>
      <c r="DW99" t="s">
        <v>222</v>
      </c>
      <c r="DX99">
        <v>1</v>
      </c>
      <c r="EE99">
        <v>18683554</v>
      </c>
      <c r="EF99">
        <v>0</v>
      </c>
      <c r="EH99">
        <v>0</v>
      </c>
      <c r="EJ99">
        <v>4</v>
      </c>
      <c r="EK99">
        <v>0</v>
      </c>
      <c r="EL99" t="s">
        <v>223</v>
      </c>
      <c r="EM99" t="s">
        <v>224</v>
      </c>
      <c r="EQ99">
        <v>0</v>
      </c>
      <c r="ER99">
        <v>0</v>
      </c>
      <c r="ES99">
        <v>17450.47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Q99">
        <v>0</v>
      </c>
      <c r="FR99">
        <f t="shared" si="77"/>
        <v>0</v>
      </c>
      <c r="FS99">
        <v>0</v>
      </c>
      <c r="FX99">
        <v>0</v>
      </c>
      <c r="FY99">
        <v>0</v>
      </c>
      <c r="GA99">
        <v>17450.47</v>
      </c>
      <c r="GB99">
        <v>17450.47</v>
      </c>
      <c r="GC99">
        <v>0</v>
      </c>
      <c r="GD99">
        <v>0</v>
      </c>
      <c r="GE99">
        <v>0</v>
      </c>
      <c r="GF99">
        <v>17450.47</v>
      </c>
      <c r="GG99">
        <v>17450.47</v>
      </c>
      <c r="GH99">
        <v>0</v>
      </c>
      <c r="GI99">
        <v>0</v>
      </c>
      <c r="GJ99">
        <v>0</v>
      </c>
      <c r="GK99">
        <v>1</v>
      </c>
      <c r="GL99">
        <v>0</v>
      </c>
    </row>
    <row r="100" spans="1:194" ht="12.75">
      <c r="A100">
        <v>17</v>
      </c>
      <c r="B100">
        <v>1</v>
      </c>
      <c r="E100" t="s">
        <v>225</v>
      </c>
      <c r="F100" t="s">
        <v>220</v>
      </c>
      <c r="G100" t="s">
        <v>226</v>
      </c>
      <c r="H100" t="s">
        <v>222</v>
      </c>
      <c r="I100">
        <v>1</v>
      </c>
      <c r="J100">
        <v>0</v>
      </c>
      <c r="O100">
        <f t="shared" si="46"/>
        <v>6373.17</v>
      </c>
      <c r="P100">
        <f t="shared" si="47"/>
        <v>6373.17</v>
      </c>
      <c r="Q100">
        <f t="shared" si="48"/>
        <v>0</v>
      </c>
      <c r="R100">
        <f t="shared" si="49"/>
        <v>0</v>
      </c>
      <c r="S100">
        <f t="shared" si="50"/>
        <v>0</v>
      </c>
      <c r="T100">
        <f t="shared" si="51"/>
        <v>0</v>
      </c>
      <c r="U100">
        <f t="shared" si="52"/>
        <v>0</v>
      </c>
      <c r="V100">
        <f t="shared" si="53"/>
        <v>0</v>
      </c>
      <c r="W100">
        <f t="shared" si="54"/>
        <v>0</v>
      </c>
      <c r="X100">
        <f t="shared" si="55"/>
        <v>0</v>
      </c>
      <c r="Y100">
        <f t="shared" si="56"/>
        <v>0</v>
      </c>
      <c r="AA100">
        <v>0</v>
      </c>
      <c r="AB100">
        <f t="shared" si="57"/>
        <v>1496.05</v>
      </c>
      <c r="AC100">
        <f t="shared" si="58"/>
        <v>1496.05</v>
      </c>
      <c r="AD100">
        <f t="shared" si="59"/>
        <v>0</v>
      </c>
      <c r="AE100">
        <f t="shared" si="60"/>
        <v>0</v>
      </c>
      <c r="AF100">
        <f t="shared" si="61"/>
        <v>0</v>
      </c>
      <c r="AG100">
        <f t="shared" si="62"/>
        <v>0</v>
      </c>
      <c r="AH100">
        <f t="shared" si="63"/>
        <v>0</v>
      </c>
      <c r="AI100">
        <f t="shared" si="64"/>
        <v>0</v>
      </c>
      <c r="AJ100">
        <f t="shared" si="65"/>
        <v>0</v>
      </c>
      <c r="AK100">
        <v>1496.05</v>
      </c>
      <c r="AL100">
        <v>1496.05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X100">
        <v>4.26</v>
      </c>
      <c r="AY100">
        <v>1</v>
      </c>
      <c r="AZ100">
        <v>1</v>
      </c>
      <c r="BA100">
        <v>1</v>
      </c>
      <c r="BB100">
        <v>1</v>
      </c>
      <c r="BC100">
        <v>4.26</v>
      </c>
      <c r="BH100">
        <v>3</v>
      </c>
      <c r="BI100">
        <v>2</v>
      </c>
      <c r="BM100">
        <v>0</v>
      </c>
      <c r="BN100">
        <v>0</v>
      </c>
      <c r="BP100">
        <v>0</v>
      </c>
      <c r="BQ100">
        <v>0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0</v>
      </c>
      <c r="CA100">
        <v>0</v>
      </c>
      <c r="CF100">
        <v>0</v>
      </c>
      <c r="CG100">
        <v>0</v>
      </c>
      <c r="CM100">
        <v>0</v>
      </c>
      <c r="CO100">
        <v>0</v>
      </c>
      <c r="CP100">
        <f t="shared" si="66"/>
        <v>6373.17</v>
      </c>
      <c r="CQ100">
        <f t="shared" si="67"/>
        <v>6373.173</v>
      </c>
      <c r="CR100">
        <f t="shared" si="68"/>
        <v>0</v>
      </c>
      <c r="CS100">
        <f t="shared" si="69"/>
        <v>0</v>
      </c>
      <c r="CT100">
        <f t="shared" si="70"/>
        <v>0</v>
      </c>
      <c r="CU100">
        <f t="shared" si="71"/>
        <v>0</v>
      </c>
      <c r="CV100">
        <f t="shared" si="72"/>
        <v>0</v>
      </c>
      <c r="CW100">
        <f t="shared" si="73"/>
        <v>0</v>
      </c>
      <c r="CX100">
        <f t="shared" si="74"/>
        <v>0</v>
      </c>
      <c r="CY100">
        <f t="shared" si="75"/>
        <v>0</v>
      </c>
      <c r="CZ100">
        <f t="shared" si="76"/>
        <v>0</v>
      </c>
      <c r="DN100">
        <v>0</v>
      </c>
      <c r="DO100">
        <v>0</v>
      </c>
      <c r="DP100">
        <v>1</v>
      </c>
      <c r="DQ100">
        <v>1</v>
      </c>
      <c r="DR100">
        <v>4.26</v>
      </c>
      <c r="DS100">
        <v>4.26</v>
      </c>
      <c r="DT100">
        <v>1</v>
      </c>
      <c r="DU100">
        <v>1013</v>
      </c>
      <c r="DV100" t="s">
        <v>222</v>
      </c>
      <c r="DW100" t="s">
        <v>222</v>
      </c>
      <c r="DX100">
        <v>1</v>
      </c>
      <c r="EE100">
        <v>18683554</v>
      </c>
      <c r="EF100">
        <v>0</v>
      </c>
      <c r="EH100">
        <v>0</v>
      </c>
      <c r="EJ100">
        <v>4</v>
      </c>
      <c r="EK100">
        <v>0</v>
      </c>
      <c r="EL100" t="s">
        <v>223</v>
      </c>
      <c r="EM100" t="s">
        <v>224</v>
      </c>
      <c r="EQ100">
        <v>0</v>
      </c>
      <c r="ER100">
        <v>0</v>
      </c>
      <c r="ES100">
        <v>1496.05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Q100">
        <v>0</v>
      </c>
      <c r="FR100">
        <f t="shared" si="77"/>
        <v>0</v>
      </c>
      <c r="FS100">
        <v>0</v>
      </c>
      <c r="FX100">
        <v>0</v>
      </c>
      <c r="FY100">
        <v>0</v>
      </c>
      <c r="GA100">
        <v>1496.05</v>
      </c>
      <c r="GB100">
        <v>1496.05</v>
      </c>
      <c r="GC100">
        <v>0</v>
      </c>
      <c r="GD100">
        <v>0</v>
      </c>
      <c r="GE100">
        <v>0</v>
      </c>
      <c r="GF100">
        <v>1496.05</v>
      </c>
      <c r="GG100">
        <v>1496.05</v>
      </c>
      <c r="GH100">
        <v>0</v>
      </c>
      <c r="GI100">
        <v>0</v>
      </c>
      <c r="GJ100">
        <v>0</v>
      </c>
      <c r="GK100">
        <v>1</v>
      </c>
      <c r="GL100">
        <v>0</v>
      </c>
    </row>
    <row r="101" spans="1:194" ht="12.75">
      <c r="A101">
        <v>17</v>
      </c>
      <c r="B101">
        <v>1</v>
      </c>
      <c r="E101" t="s">
        <v>227</v>
      </c>
      <c r="F101" t="s">
        <v>228</v>
      </c>
      <c r="G101" t="s">
        <v>229</v>
      </c>
      <c r="H101" t="s">
        <v>230</v>
      </c>
      <c r="I101">
        <v>8.16</v>
      </c>
      <c r="J101">
        <v>0</v>
      </c>
      <c r="O101">
        <f t="shared" si="46"/>
        <v>68.85</v>
      </c>
      <c r="P101">
        <f t="shared" si="47"/>
        <v>68.85</v>
      </c>
      <c r="Q101">
        <f t="shared" si="48"/>
        <v>0</v>
      </c>
      <c r="R101">
        <f t="shared" si="49"/>
        <v>0</v>
      </c>
      <c r="S101">
        <f t="shared" si="50"/>
        <v>0</v>
      </c>
      <c r="T101">
        <f t="shared" si="51"/>
        <v>0</v>
      </c>
      <c r="U101">
        <f t="shared" si="52"/>
        <v>0</v>
      </c>
      <c r="V101">
        <f t="shared" si="53"/>
        <v>0</v>
      </c>
      <c r="W101">
        <f t="shared" si="54"/>
        <v>0</v>
      </c>
      <c r="X101">
        <f t="shared" si="55"/>
        <v>0</v>
      </c>
      <c r="Y101">
        <f t="shared" si="56"/>
        <v>0</v>
      </c>
      <c r="AA101">
        <v>0</v>
      </c>
      <c r="AB101">
        <f t="shared" si="57"/>
        <v>2.67</v>
      </c>
      <c r="AC101">
        <f t="shared" si="58"/>
        <v>2.67</v>
      </c>
      <c r="AD101">
        <f t="shared" si="59"/>
        <v>0</v>
      </c>
      <c r="AE101">
        <f t="shared" si="60"/>
        <v>0</v>
      </c>
      <c r="AF101">
        <f t="shared" si="61"/>
        <v>0</v>
      </c>
      <c r="AG101">
        <f t="shared" si="62"/>
        <v>0</v>
      </c>
      <c r="AH101">
        <f t="shared" si="63"/>
        <v>0</v>
      </c>
      <c r="AI101">
        <f t="shared" si="64"/>
        <v>0</v>
      </c>
      <c r="AJ101">
        <f t="shared" si="65"/>
        <v>0</v>
      </c>
      <c r="AK101">
        <v>2.67</v>
      </c>
      <c r="AL101">
        <v>2.67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3.16</v>
      </c>
      <c r="AY101">
        <v>1</v>
      </c>
      <c r="AZ101">
        <v>1</v>
      </c>
      <c r="BA101">
        <v>1</v>
      </c>
      <c r="BB101">
        <v>1</v>
      </c>
      <c r="BC101">
        <v>3.16</v>
      </c>
      <c r="BH101">
        <v>3</v>
      </c>
      <c r="BI101">
        <v>2</v>
      </c>
      <c r="BJ101" t="s">
        <v>231</v>
      </c>
      <c r="BM101">
        <v>1617</v>
      </c>
      <c r="BN101">
        <v>0</v>
      </c>
      <c r="BO101" t="s">
        <v>228</v>
      </c>
      <c r="BP101">
        <v>1</v>
      </c>
      <c r="BQ101">
        <v>200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0</v>
      </c>
      <c r="CA101">
        <v>0</v>
      </c>
      <c r="CF101">
        <v>0</v>
      </c>
      <c r="CG101">
        <v>0</v>
      </c>
      <c r="CM101">
        <v>0</v>
      </c>
      <c r="CO101">
        <v>0</v>
      </c>
      <c r="CP101">
        <f t="shared" si="66"/>
        <v>68.85</v>
      </c>
      <c r="CQ101">
        <f t="shared" si="67"/>
        <v>8.4372</v>
      </c>
      <c r="CR101">
        <f t="shared" si="68"/>
        <v>0</v>
      </c>
      <c r="CS101">
        <f t="shared" si="69"/>
        <v>0</v>
      </c>
      <c r="CT101">
        <f t="shared" si="70"/>
        <v>0</v>
      </c>
      <c r="CU101">
        <f t="shared" si="71"/>
        <v>0</v>
      </c>
      <c r="CV101">
        <f t="shared" si="72"/>
        <v>0</v>
      </c>
      <c r="CW101">
        <f t="shared" si="73"/>
        <v>0</v>
      </c>
      <c r="CX101">
        <f t="shared" si="74"/>
        <v>0</v>
      </c>
      <c r="CY101">
        <f t="shared" si="75"/>
        <v>0</v>
      </c>
      <c r="CZ101">
        <f t="shared" si="76"/>
        <v>0</v>
      </c>
      <c r="DN101">
        <v>0</v>
      </c>
      <c r="DO101">
        <v>0</v>
      </c>
      <c r="DP101">
        <v>1</v>
      </c>
      <c r="DQ101">
        <v>1</v>
      </c>
      <c r="DR101">
        <v>3.16</v>
      </c>
      <c r="DS101">
        <v>3.16</v>
      </c>
      <c r="DT101">
        <v>1</v>
      </c>
      <c r="DU101">
        <v>1003</v>
      </c>
      <c r="DV101" t="s">
        <v>230</v>
      </c>
      <c r="DW101" t="s">
        <v>230</v>
      </c>
      <c r="DX101">
        <v>1</v>
      </c>
      <c r="EE101">
        <v>18685171</v>
      </c>
      <c r="EF101">
        <v>200</v>
      </c>
      <c r="EG101" t="s">
        <v>232</v>
      </c>
      <c r="EH101">
        <v>0</v>
      </c>
      <c r="EJ101">
        <v>1</v>
      </c>
      <c r="EK101">
        <v>1617</v>
      </c>
      <c r="EL101" t="s">
        <v>233</v>
      </c>
      <c r="EM101" t="s">
        <v>234</v>
      </c>
      <c r="EQ101">
        <v>0</v>
      </c>
      <c r="ER101">
        <v>2.67</v>
      </c>
      <c r="ES101">
        <v>2.67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Q101">
        <v>0</v>
      </c>
      <c r="FR101">
        <f t="shared" si="77"/>
        <v>0</v>
      </c>
      <c r="FS101">
        <v>0</v>
      </c>
      <c r="FX101">
        <v>0</v>
      </c>
      <c r="FY101">
        <v>0</v>
      </c>
      <c r="GA101">
        <v>2.67</v>
      </c>
      <c r="GB101">
        <v>2.67</v>
      </c>
      <c r="GC101">
        <v>0</v>
      </c>
      <c r="GD101">
        <v>0</v>
      </c>
      <c r="GE101">
        <v>0</v>
      </c>
      <c r="GF101">
        <v>2.67</v>
      </c>
      <c r="GG101">
        <v>2.67</v>
      </c>
      <c r="GH101">
        <v>0</v>
      </c>
      <c r="GI101">
        <v>0</v>
      </c>
      <c r="GJ101">
        <v>0</v>
      </c>
      <c r="GK101">
        <v>0</v>
      </c>
      <c r="GL101">
        <v>0</v>
      </c>
    </row>
    <row r="102" spans="1:194" ht="12.75">
      <c r="A102">
        <v>17</v>
      </c>
      <c r="B102">
        <v>1</v>
      </c>
      <c r="E102" t="s">
        <v>235</v>
      </c>
      <c r="F102" t="s">
        <v>236</v>
      </c>
      <c r="G102" t="s">
        <v>237</v>
      </c>
      <c r="H102" t="s">
        <v>230</v>
      </c>
      <c r="I102">
        <v>9.18</v>
      </c>
      <c r="J102">
        <v>0</v>
      </c>
      <c r="O102">
        <f t="shared" si="46"/>
        <v>110.85</v>
      </c>
      <c r="P102">
        <f t="shared" si="47"/>
        <v>110.85</v>
      </c>
      <c r="Q102">
        <f t="shared" si="48"/>
        <v>0</v>
      </c>
      <c r="R102">
        <f t="shared" si="49"/>
        <v>0</v>
      </c>
      <c r="S102">
        <f t="shared" si="50"/>
        <v>0</v>
      </c>
      <c r="T102">
        <f t="shared" si="51"/>
        <v>0</v>
      </c>
      <c r="U102">
        <f t="shared" si="52"/>
        <v>0</v>
      </c>
      <c r="V102">
        <f t="shared" si="53"/>
        <v>0</v>
      </c>
      <c r="W102">
        <f t="shared" si="54"/>
        <v>0</v>
      </c>
      <c r="X102">
        <f t="shared" si="55"/>
        <v>0</v>
      </c>
      <c r="Y102">
        <f t="shared" si="56"/>
        <v>0</v>
      </c>
      <c r="AA102">
        <v>0</v>
      </c>
      <c r="AB102">
        <f t="shared" si="57"/>
        <v>3.45</v>
      </c>
      <c r="AC102">
        <f t="shared" si="58"/>
        <v>3.45</v>
      </c>
      <c r="AD102">
        <f t="shared" si="59"/>
        <v>0</v>
      </c>
      <c r="AE102">
        <f t="shared" si="60"/>
        <v>0</v>
      </c>
      <c r="AF102">
        <f t="shared" si="61"/>
        <v>0</v>
      </c>
      <c r="AG102">
        <f t="shared" si="62"/>
        <v>0</v>
      </c>
      <c r="AH102">
        <f t="shared" si="63"/>
        <v>0</v>
      </c>
      <c r="AI102">
        <f t="shared" si="64"/>
        <v>0</v>
      </c>
      <c r="AJ102">
        <f t="shared" si="65"/>
        <v>0</v>
      </c>
      <c r="AK102">
        <v>3.45</v>
      </c>
      <c r="AL102">
        <v>3.45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X102">
        <v>3.5</v>
      </c>
      <c r="AY102">
        <v>1</v>
      </c>
      <c r="AZ102">
        <v>1</v>
      </c>
      <c r="BA102">
        <v>1</v>
      </c>
      <c r="BB102">
        <v>1</v>
      </c>
      <c r="BC102">
        <v>3.5</v>
      </c>
      <c r="BH102">
        <v>3</v>
      </c>
      <c r="BI102">
        <v>2</v>
      </c>
      <c r="BJ102" t="s">
        <v>238</v>
      </c>
      <c r="BM102">
        <v>1617</v>
      </c>
      <c r="BN102">
        <v>0</v>
      </c>
      <c r="BO102" t="s">
        <v>236</v>
      </c>
      <c r="BP102">
        <v>1</v>
      </c>
      <c r="BQ102">
        <v>200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0</v>
      </c>
      <c r="CA102">
        <v>0</v>
      </c>
      <c r="CF102">
        <v>0</v>
      </c>
      <c r="CG102">
        <v>0</v>
      </c>
      <c r="CM102">
        <v>0</v>
      </c>
      <c r="CO102">
        <v>0</v>
      </c>
      <c r="CP102">
        <f t="shared" si="66"/>
        <v>110.85</v>
      </c>
      <c r="CQ102">
        <f t="shared" si="67"/>
        <v>12.075000000000001</v>
      </c>
      <c r="CR102">
        <f t="shared" si="68"/>
        <v>0</v>
      </c>
      <c r="CS102">
        <f t="shared" si="69"/>
        <v>0</v>
      </c>
      <c r="CT102">
        <f t="shared" si="70"/>
        <v>0</v>
      </c>
      <c r="CU102">
        <f t="shared" si="71"/>
        <v>0</v>
      </c>
      <c r="CV102">
        <f t="shared" si="72"/>
        <v>0</v>
      </c>
      <c r="CW102">
        <f t="shared" si="73"/>
        <v>0</v>
      </c>
      <c r="CX102">
        <f t="shared" si="74"/>
        <v>0</v>
      </c>
      <c r="CY102">
        <f t="shared" si="75"/>
        <v>0</v>
      </c>
      <c r="CZ102">
        <f t="shared" si="76"/>
        <v>0</v>
      </c>
      <c r="DN102">
        <v>0</v>
      </c>
      <c r="DO102">
        <v>0</v>
      </c>
      <c r="DP102">
        <v>1</v>
      </c>
      <c r="DQ102">
        <v>1</v>
      </c>
      <c r="DR102">
        <v>3.5</v>
      </c>
      <c r="DS102">
        <v>3.5</v>
      </c>
      <c r="DT102">
        <v>1</v>
      </c>
      <c r="DU102">
        <v>1003</v>
      </c>
      <c r="DV102" t="s">
        <v>230</v>
      </c>
      <c r="DW102" t="s">
        <v>230</v>
      </c>
      <c r="DX102">
        <v>1</v>
      </c>
      <c r="EE102">
        <v>18685171</v>
      </c>
      <c r="EF102">
        <v>200</v>
      </c>
      <c r="EG102" t="s">
        <v>232</v>
      </c>
      <c r="EH102">
        <v>0</v>
      </c>
      <c r="EJ102">
        <v>1</v>
      </c>
      <c r="EK102">
        <v>1617</v>
      </c>
      <c r="EL102" t="s">
        <v>233</v>
      </c>
      <c r="EM102" t="s">
        <v>234</v>
      </c>
      <c r="EQ102">
        <v>0</v>
      </c>
      <c r="ER102">
        <v>3.45</v>
      </c>
      <c r="ES102">
        <v>3.45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Q102">
        <v>0</v>
      </c>
      <c r="FR102">
        <f t="shared" si="77"/>
        <v>0</v>
      </c>
      <c r="FS102">
        <v>0</v>
      </c>
      <c r="FX102">
        <v>0</v>
      </c>
      <c r="FY102">
        <v>0</v>
      </c>
      <c r="GA102">
        <v>3.45</v>
      </c>
      <c r="GB102">
        <v>3.45</v>
      </c>
      <c r="GC102">
        <v>0</v>
      </c>
      <c r="GD102">
        <v>0</v>
      </c>
      <c r="GE102">
        <v>0</v>
      </c>
      <c r="GF102">
        <v>3.45</v>
      </c>
      <c r="GG102">
        <v>3.45</v>
      </c>
      <c r="GH102">
        <v>0</v>
      </c>
      <c r="GI102">
        <v>0</v>
      </c>
      <c r="GJ102">
        <v>0</v>
      </c>
      <c r="GK102">
        <v>0</v>
      </c>
      <c r="GL102">
        <v>0</v>
      </c>
    </row>
    <row r="103" spans="1:194" ht="12.75">
      <c r="A103">
        <v>17</v>
      </c>
      <c r="B103">
        <v>1</v>
      </c>
      <c r="E103" t="s">
        <v>239</v>
      </c>
      <c r="F103" t="s">
        <v>240</v>
      </c>
      <c r="G103" t="s">
        <v>241</v>
      </c>
      <c r="H103" t="s">
        <v>242</v>
      </c>
      <c r="I103">
        <v>0.11118</v>
      </c>
      <c r="J103">
        <v>0</v>
      </c>
      <c r="O103">
        <f t="shared" si="46"/>
        <v>3443.5</v>
      </c>
      <c r="P103">
        <f t="shared" si="47"/>
        <v>3443.5</v>
      </c>
      <c r="Q103">
        <f t="shared" si="48"/>
        <v>0</v>
      </c>
      <c r="R103">
        <f t="shared" si="49"/>
        <v>0</v>
      </c>
      <c r="S103">
        <f t="shared" si="50"/>
        <v>0</v>
      </c>
      <c r="T103">
        <f t="shared" si="51"/>
        <v>0</v>
      </c>
      <c r="U103">
        <f t="shared" si="52"/>
        <v>0</v>
      </c>
      <c r="V103">
        <f t="shared" si="53"/>
        <v>0</v>
      </c>
      <c r="W103">
        <f t="shared" si="54"/>
        <v>0</v>
      </c>
      <c r="X103">
        <f t="shared" si="55"/>
        <v>0</v>
      </c>
      <c r="Y103">
        <f t="shared" si="56"/>
        <v>0</v>
      </c>
      <c r="AA103">
        <v>0</v>
      </c>
      <c r="AB103">
        <f t="shared" si="57"/>
        <v>12798.46</v>
      </c>
      <c r="AC103">
        <f t="shared" si="58"/>
        <v>12798.46</v>
      </c>
      <c r="AD103">
        <f t="shared" si="59"/>
        <v>0</v>
      </c>
      <c r="AE103">
        <f t="shared" si="60"/>
        <v>0</v>
      </c>
      <c r="AF103">
        <f t="shared" si="61"/>
        <v>0</v>
      </c>
      <c r="AG103">
        <f t="shared" si="62"/>
        <v>0</v>
      </c>
      <c r="AH103">
        <f t="shared" si="63"/>
        <v>0</v>
      </c>
      <c r="AI103">
        <f t="shared" si="64"/>
        <v>0</v>
      </c>
      <c r="AJ103">
        <f t="shared" si="65"/>
        <v>0</v>
      </c>
      <c r="AK103">
        <v>12798.46</v>
      </c>
      <c r="AL103">
        <v>12798.46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X103">
        <v>2.42</v>
      </c>
      <c r="AY103">
        <v>1</v>
      </c>
      <c r="AZ103">
        <v>1</v>
      </c>
      <c r="BA103">
        <v>1</v>
      </c>
      <c r="BB103">
        <v>1</v>
      </c>
      <c r="BC103">
        <v>2.42</v>
      </c>
      <c r="BH103">
        <v>3</v>
      </c>
      <c r="BI103">
        <v>2</v>
      </c>
      <c r="BJ103" t="s">
        <v>243</v>
      </c>
      <c r="BM103">
        <v>1618</v>
      </c>
      <c r="BN103">
        <v>0</v>
      </c>
      <c r="BO103" t="s">
        <v>240</v>
      </c>
      <c r="BP103">
        <v>1</v>
      </c>
      <c r="BQ103">
        <v>201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0</v>
      </c>
      <c r="CA103">
        <v>0</v>
      </c>
      <c r="CF103">
        <v>0</v>
      </c>
      <c r="CG103">
        <v>0</v>
      </c>
      <c r="CM103">
        <v>0</v>
      </c>
      <c r="CO103">
        <v>0</v>
      </c>
      <c r="CP103">
        <f t="shared" si="66"/>
        <v>3443.5</v>
      </c>
      <c r="CQ103">
        <f t="shared" si="67"/>
        <v>30972.273199999996</v>
      </c>
      <c r="CR103">
        <f t="shared" si="68"/>
        <v>0</v>
      </c>
      <c r="CS103">
        <f t="shared" si="69"/>
        <v>0</v>
      </c>
      <c r="CT103">
        <f t="shared" si="70"/>
        <v>0</v>
      </c>
      <c r="CU103">
        <f t="shared" si="71"/>
        <v>0</v>
      </c>
      <c r="CV103">
        <f t="shared" si="72"/>
        <v>0</v>
      </c>
      <c r="CW103">
        <f t="shared" si="73"/>
        <v>0</v>
      </c>
      <c r="CX103">
        <f t="shared" si="74"/>
        <v>0</v>
      </c>
      <c r="CY103">
        <f t="shared" si="75"/>
        <v>0</v>
      </c>
      <c r="CZ103">
        <f t="shared" si="76"/>
        <v>0</v>
      </c>
      <c r="DN103">
        <v>0</v>
      </c>
      <c r="DO103">
        <v>0</v>
      </c>
      <c r="DP103">
        <v>1</v>
      </c>
      <c r="DQ103">
        <v>1</v>
      </c>
      <c r="DR103">
        <v>2.42</v>
      </c>
      <c r="DS103">
        <v>2.42</v>
      </c>
      <c r="DT103">
        <v>1</v>
      </c>
      <c r="DU103">
        <v>1003</v>
      </c>
      <c r="DV103" t="s">
        <v>242</v>
      </c>
      <c r="DW103" t="s">
        <v>242</v>
      </c>
      <c r="DX103">
        <v>1000</v>
      </c>
      <c r="EE103">
        <v>18685172</v>
      </c>
      <c r="EF103">
        <v>201</v>
      </c>
      <c r="EG103" t="s">
        <v>216</v>
      </c>
      <c r="EH103">
        <v>0</v>
      </c>
      <c r="EJ103">
        <v>2</v>
      </c>
      <c r="EK103">
        <v>1618</v>
      </c>
      <c r="EL103" t="s">
        <v>217</v>
      </c>
      <c r="EM103" t="s">
        <v>218</v>
      </c>
      <c r="EQ103">
        <v>0</v>
      </c>
      <c r="ER103">
        <v>12798.46</v>
      </c>
      <c r="ES103">
        <v>12798.46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Q103">
        <v>0</v>
      </c>
      <c r="FR103">
        <f t="shared" si="77"/>
        <v>0</v>
      </c>
      <c r="FS103">
        <v>0</v>
      </c>
      <c r="FX103">
        <v>0</v>
      </c>
      <c r="FY103">
        <v>0</v>
      </c>
      <c r="GA103">
        <v>12798.46</v>
      </c>
      <c r="GB103">
        <v>12798.46</v>
      </c>
      <c r="GC103">
        <v>0</v>
      </c>
      <c r="GD103">
        <v>0</v>
      </c>
      <c r="GE103">
        <v>0</v>
      </c>
      <c r="GF103">
        <v>12798.46</v>
      </c>
      <c r="GG103">
        <v>12798.46</v>
      </c>
      <c r="GH103">
        <v>0</v>
      </c>
      <c r="GI103">
        <v>0</v>
      </c>
      <c r="GJ103">
        <v>0</v>
      </c>
      <c r="GK103">
        <v>0</v>
      </c>
      <c r="GL103">
        <v>0</v>
      </c>
    </row>
    <row r="104" spans="1:194" ht="12.75">
      <c r="A104">
        <v>17</v>
      </c>
      <c r="B104">
        <v>1</v>
      </c>
      <c r="E104" t="s">
        <v>244</v>
      </c>
      <c r="F104" t="s">
        <v>245</v>
      </c>
      <c r="G104" t="s">
        <v>246</v>
      </c>
      <c r="H104" t="s">
        <v>242</v>
      </c>
      <c r="I104">
        <v>0.00612</v>
      </c>
      <c r="J104">
        <v>0</v>
      </c>
      <c r="O104">
        <f t="shared" si="46"/>
        <v>112.79</v>
      </c>
      <c r="P104">
        <f t="shared" si="47"/>
        <v>112.79</v>
      </c>
      <c r="Q104">
        <f t="shared" si="48"/>
        <v>0</v>
      </c>
      <c r="R104">
        <f t="shared" si="49"/>
        <v>0</v>
      </c>
      <c r="S104">
        <f t="shared" si="50"/>
        <v>0</v>
      </c>
      <c r="T104">
        <f t="shared" si="51"/>
        <v>0</v>
      </c>
      <c r="U104">
        <f t="shared" si="52"/>
        <v>0</v>
      </c>
      <c r="V104">
        <f t="shared" si="53"/>
        <v>0</v>
      </c>
      <c r="W104">
        <f t="shared" si="54"/>
        <v>0</v>
      </c>
      <c r="X104">
        <f t="shared" si="55"/>
        <v>0</v>
      </c>
      <c r="Y104">
        <f t="shared" si="56"/>
        <v>0</v>
      </c>
      <c r="AA104">
        <v>0</v>
      </c>
      <c r="AB104">
        <f t="shared" si="57"/>
        <v>4941.13</v>
      </c>
      <c r="AC104">
        <f t="shared" si="58"/>
        <v>4941.13</v>
      </c>
      <c r="AD104">
        <f t="shared" si="59"/>
        <v>0</v>
      </c>
      <c r="AE104">
        <f t="shared" si="60"/>
        <v>0</v>
      </c>
      <c r="AF104">
        <f t="shared" si="61"/>
        <v>0</v>
      </c>
      <c r="AG104">
        <f t="shared" si="62"/>
        <v>0</v>
      </c>
      <c r="AH104">
        <f t="shared" si="63"/>
        <v>0</v>
      </c>
      <c r="AI104">
        <f t="shared" si="64"/>
        <v>0</v>
      </c>
      <c r="AJ104">
        <f t="shared" si="65"/>
        <v>0</v>
      </c>
      <c r="AK104">
        <v>4941.13</v>
      </c>
      <c r="AL104">
        <v>4941.13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X104">
        <v>3.73</v>
      </c>
      <c r="AY104">
        <v>1</v>
      </c>
      <c r="AZ104">
        <v>1</v>
      </c>
      <c r="BA104">
        <v>1</v>
      </c>
      <c r="BB104">
        <v>1</v>
      </c>
      <c r="BC104">
        <v>3.73</v>
      </c>
      <c r="BH104">
        <v>3</v>
      </c>
      <c r="BI104">
        <v>2</v>
      </c>
      <c r="BJ104" t="s">
        <v>247</v>
      </c>
      <c r="BM104">
        <v>1618</v>
      </c>
      <c r="BN104">
        <v>0</v>
      </c>
      <c r="BO104" t="s">
        <v>245</v>
      </c>
      <c r="BP104">
        <v>1</v>
      </c>
      <c r="BQ104">
        <v>201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0</v>
      </c>
      <c r="CA104">
        <v>0</v>
      </c>
      <c r="CF104">
        <v>0</v>
      </c>
      <c r="CG104">
        <v>0</v>
      </c>
      <c r="CM104">
        <v>0</v>
      </c>
      <c r="CO104">
        <v>0</v>
      </c>
      <c r="CP104">
        <f t="shared" si="66"/>
        <v>112.79</v>
      </c>
      <c r="CQ104">
        <f t="shared" si="67"/>
        <v>18430.4149</v>
      </c>
      <c r="CR104">
        <f t="shared" si="68"/>
        <v>0</v>
      </c>
      <c r="CS104">
        <f t="shared" si="69"/>
        <v>0</v>
      </c>
      <c r="CT104">
        <f t="shared" si="70"/>
        <v>0</v>
      </c>
      <c r="CU104">
        <f t="shared" si="71"/>
        <v>0</v>
      </c>
      <c r="CV104">
        <f t="shared" si="72"/>
        <v>0</v>
      </c>
      <c r="CW104">
        <f t="shared" si="73"/>
        <v>0</v>
      </c>
      <c r="CX104">
        <f t="shared" si="74"/>
        <v>0</v>
      </c>
      <c r="CY104">
        <f t="shared" si="75"/>
        <v>0</v>
      </c>
      <c r="CZ104">
        <f t="shared" si="76"/>
        <v>0</v>
      </c>
      <c r="DN104">
        <v>0</v>
      </c>
      <c r="DO104">
        <v>0</v>
      </c>
      <c r="DP104">
        <v>1</v>
      </c>
      <c r="DQ104">
        <v>1</v>
      </c>
      <c r="DR104">
        <v>3.73</v>
      </c>
      <c r="DS104">
        <v>3.73</v>
      </c>
      <c r="DT104">
        <v>1</v>
      </c>
      <c r="DU104">
        <v>1003</v>
      </c>
      <c r="DV104" t="s">
        <v>242</v>
      </c>
      <c r="DW104" t="s">
        <v>242</v>
      </c>
      <c r="DX104">
        <v>1000</v>
      </c>
      <c r="EE104">
        <v>18685172</v>
      </c>
      <c r="EF104">
        <v>201</v>
      </c>
      <c r="EG104" t="s">
        <v>216</v>
      </c>
      <c r="EH104">
        <v>0</v>
      </c>
      <c r="EJ104">
        <v>2</v>
      </c>
      <c r="EK104">
        <v>1618</v>
      </c>
      <c r="EL104" t="s">
        <v>217</v>
      </c>
      <c r="EM104" t="s">
        <v>218</v>
      </c>
      <c r="EQ104">
        <v>0</v>
      </c>
      <c r="ER104">
        <v>0</v>
      </c>
      <c r="ES104">
        <v>4941.13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Q104">
        <v>0</v>
      </c>
      <c r="FR104">
        <f t="shared" si="77"/>
        <v>0</v>
      </c>
      <c r="FS104">
        <v>0</v>
      </c>
      <c r="FX104">
        <v>0</v>
      </c>
      <c r="FY104">
        <v>0</v>
      </c>
      <c r="GA104">
        <v>4941.13</v>
      </c>
      <c r="GB104">
        <v>4941.13</v>
      </c>
      <c r="GC104">
        <v>0</v>
      </c>
      <c r="GD104">
        <v>0</v>
      </c>
      <c r="GE104">
        <v>0</v>
      </c>
      <c r="GF104">
        <v>4941.13</v>
      </c>
      <c r="GG104">
        <v>4941.13</v>
      </c>
      <c r="GH104">
        <v>0</v>
      </c>
      <c r="GI104">
        <v>0</v>
      </c>
      <c r="GJ104">
        <v>0</v>
      </c>
      <c r="GK104">
        <v>0</v>
      </c>
      <c r="GL104">
        <v>0</v>
      </c>
    </row>
    <row r="105" spans="1:194" ht="12.75">
      <c r="A105">
        <v>17</v>
      </c>
      <c r="B105">
        <v>1</v>
      </c>
      <c r="E105" t="s">
        <v>248</v>
      </c>
      <c r="F105" t="s">
        <v>249</v>
      </c>
      <c r="G105" t="s">
        <v>250</v>
      </c>
      <c r="H105" t="s">
        <v>242</v>
      </c>
      <c r="I105">
        <v>0.00408</v>
      </c>
      <c r="J105">
        <v>0</v>
      </c>
      <c r="O105">
        <f t="shared" si="46"/>
        <v>13.31</v>
      </c>
      <c r="P105">
        <f t="shared" si="47"/>
        <v>13.31</v>
      </c>
      <c r="Q105">
        <f t="shared" si="48"/>
        <v>0</v>
      </c>
      <c r="R105">
        <f t="shared" si="49"/>
        <v>0</v>
      </c>
      <c r="S105">
        <f t="shared" si="50"/>
        <v>0</v>
      </c>
      <c r="T105">
        <f t="shared" si="51"/>
        <v>0</v>
      </c>
      <c r="U105">
        <f t="shared" si="52"/>
        <v>0</v>
      </c>
      <c r="V105">
        <f t="shared" si="53"/>
        <v>0</v>
      </c>
      <c r="W105">
        <f t="shared" si="54"/>
        <v>0</v>
      </c>
      <c r="X105">
        <f t="shared" si="55"/>
        <v>0</v>
      </c>
      <c r="Y105">
        <f t="shared" si="56"/>
        <v>0</v>
      </c>
      <c r="AA105">
        <v>0</v>
      </c>
      <c r="AB105">
        <f t="shared" si="57"/>
        <v>469.93</v>
      </c>
      <c r="AC105">
        <f t="shared" si="58"/>
        <v>469.93</v>
      </c>
      <c r="AD105">
        <f t="shared" si="59"/>
        <v>0</v>
      </c>
      <c r="AE105">
        <f t="shared" si="60"/>
        <v>0</v>
      </c>
      <c r="AF105">
        <f t="shared" si="61"/>
        <v>0</v>
      </c>
      <c r="AG105">
        <f t="shared" si="62"/>
        <v>0</v>
      </c>
      <c r="AH105">
        <f t="shared" si="63"/>
        <v>0</v>
      </c>
      <c r="AI105">
        <f t="shared" si="64"/>
        <v>0</v>
      </c>
      <c r="AJ105">
        <f t="shared" si="65"/>
        <v>0</v>
      </c>
      <c r="AK105">
        <v>469.93</v>
      </c>
      <c r="AL105">
        <v>469.93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X105">
        <v>6.94</v>
      </c>
      <c r="AY105">
        <v>1</v>
      </c>
      <c r="AZ105">
        <v>1</v>
      </c>
      <c r="BA105">
        <v>1</v>
      </c>
      <c r="BB105">
        <v>1</v>
      </c>
      <c r="BC105">
        <v>6.94</v>
      </c>
      <c r="BH105">
        <v>3</v>
      </c>
      <c r="BI105">
        <v>2</v>
      </c>
      <c r="BJ105" t="s">
        <v>251</v>
      </c>
      <c r="BM105">
        <v>1618</v>
      </c>
      <c r="BN105">
        <v>0</v>
      </c>
      <c r="BO105" t="s">
        <v>249</v>
      </c>
      <c r="BP105">
        <v>1</v>
      </c>
      <c r="BQ105">
        <v>201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0</v>
      </c>
      <c r="CA105">
        <v>0</v>
      </c>
      <c r="CF105">
        <v>0</v>
      </c>
      <c r="CG105">
        <v>0</v>
      </c>
      <c r="CM105">
        <v>0</v>
      </c>
      <c r="CO105">
        <v>0</v>
      </c>
      <c r="CP105">
        <f t="shared" si="66"/>
        <v>13.31</v>
      </c>
      <c r="CQ105">
        <f t="shared" si="67"/>
        <v>3261.3142000000003</v>
      </c>
      <c r="CR105">
        <f t="shared" si="68"/>
        <v>0</v>
      </c>
      <c r="CS105">
        <f t="shared" si="69"/>
        <v>0</v>
      </c>
      <c r="CT105">
        <f t="shared" si="70"/>
        <v>0</v>
      </c>
      <c r="CU105">
        <f t="shared" si="71"/>
        <v>0</v>
      </c>
      <c r="CV105">
        <f t="shared" si="72"/>
        <v>0</v>
      </c>
      <c r="CW105">
        <f t="shared" si="73"/>
        <v>0</v>
      </c>
      <c r="CX105">
        <f t="shared" si="74"/>
        <v>0</v>
      </c>
      <c r="CY105">
        <f t="shared" si="75"/>
        <v>0</v>
      </c>
      <c r="CZ105">
        <f t="shared" si="76"/>
        <v>0</v>
      </c>
      <c r="DN105">
        <v>0</v>
      </c>
      <c r="DO105">
        <v>0</v>
      </c>
      <c r="DP105">
        <v>1</v>
      </c>
      <c r="DQ105">
        <v>1</v>
      </c>
      <c r="DR105">
        <v>6.94</v>
      </c>
      <c r="DS105">
        <v>6.94</v>
      </c>
      <c r="DT105">
        <v>1</v>
      </c>
      <c r="DU105">
        <v>1003</v>
      </c>
      <c r="DV105" t="s">
        <v>242</v>
      </c>
      <c r="DW105" t="s">
        <v>242</v>
      </c>
      <c r="DX105">
        <v>1000</v>
      </c>
      <c r="EE105">
        <v>18685172</v>
      </c>
      <c r="EF105">
        <v>201</v>
      </c>
      <c r="EG105" t="s">
        <v>216</v>
      </c>
      <c r="EH105">
        <v>0</v>
      </c>
      <c r="EJ105">
        <v>2</v>
      </c>
      <c r="EK105">
        <v>1618</v>
      </c>
      <c r="EL105" t="s">
        <v>217</v>
      </c>
      <c r="EM105" t="s">
        <v>218</v>
      </c>
      <c r="EQ105">
        <v>0</v>
      </c>
      <c r="ER105">
        <v>0</v>
      </c>
      <c r="ES105">
        <v>469.93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Q105">
        <v>0</v>
      </c>
      <c r="FR105">
        <f t="shared" si="77"/>
        <v>0</v>
      </c>
      <c r="FS105">
        <v>0</v>
      </c>
      <c r="FX105">
        <v>0</v>
      </c>
      <c r="FY105">
        <v>0</v>
      </c>
      <c r="GA105">
        <v>469.93</v>
      </c>
      <c r="GB105">
        <v>469.93</v>
      </c>
      <c r="GC105">
        <v>0</v>
      </c>
      <c r="GD105">
        <v>0</v>
      </c>
      <c r="GE105">
        <v>0</v>
      </c>
      <c r="GF105">
        <v>469.93</v>
      </c>
      <c r="GG105">
        <v>469.93</v>
      </c>
      <c r="GH105">
        <v>0</v>
      </c>
      <c r="GI105">
        <v>0</v>
      </c>
      <c r="GJ105">
        <v>0</v>
      </c>
      <c r="GK105">
        <v>0</v>
      </c>
      <c r="GL105">
        <v>0</v>
      </c>
    </row>
    <row r="106" spans="1:194" ht="12.75">
      <c r="A106">
        <v>17</v>
      </c>
      <c r="B106">
        <v>1</v>
      </c>
      <c r="E106" t="s">
        <v>252</v>
      </c>
      <c r="F106" t="s">
        <v>253</v>
      </c>
      <c r="G106" t="s">
        <v>254</v>
      </c>
      <c r="H106" t="s">
        <v>22</v>
      </c>
      <c r="I106">
        <v>1</v>
      </c>
      <c r="J106">
        <v>0</v>
      </c>
      <c r="O106">
        <f t="shared" si="46"/>
        <v>178.3</v>
      </c>
      <c r="P106">
        <f t="shared" si="47"/>
        <v>178.3</v>
      </c>
      <c r="Q106">
        <f t="shared" si="48"/>
        <v>0</v>
      </c>
      <c r="R106">
        <f t="shared" si="49"/>
        <v>0</v>
      </c>
      <c r="S106">
        <f t="shared" si="50"/>
        <v>0</v>
      </c>
      <c r="T106">
        <f t="shared" si="51"/>
        <v>0</v>
      </c>
      <c r="U106">
        <f t="shared" si="52"/>
        <v>0</v>
      </c>
      <c r="V106">
        <f t="shared" si="53"/>
        <v>0</v>
      </c>
      <c r="W106">
        <f t="shared" si="54"/>
        <v>0</v>
      </c>
      <c r="X106">
        <f t="shared" si="55"/>
        <v>0</v>
      </c>
      <c r="Y106">
        <f t="shared" si="56"/>
        <v>0</v>
      </c>
      <c r="AA106">
        <v>0</v>
      </c>
      <c r="AB106">
        <f t="shared" si="57"/>
        <v>35.03</v>
      </c>
      <c r="AC106">
        <f t="shared" si="58"/>
        <v>35.03</v>
      </c>
      <c r="AD106">
        <f t="shared" si="59"/>
        <v>0</v>
      </c>
      <c r="AE106">
        <f t="shared" si="60"/>
        <v>0</v>
      </c>
      <c r="AF106">
        <f t="shared" si="61"/>
        <v>0</v>
      </c>
      <c r="AG106">
        <f t="shared" si="62"/>
        <v>0</v>
      </c>
      <c r="AH106">
        <f t="shared" si="63"/>
        <v>0</v>
      </c>
      <c r="AI106">
        <f t="shared" si="64"/>
        <v>0</v>
      </c>
      <c r="AJ106">
        <f t="shared" si="65"/>
        <v>0</v>
      </c>
      <c r="AK106">
        <v>35.03</v>
      </c>
      <c r="AL106">
        <v>35.03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X106">
        <v>5.09</v>
      </c>
      <c r="AY106">
        <v>1</v>
      </c>
      <c r="AZ106">
        <v>1</v>
      </c>
      <c r="BA106">
        <v>1</v>
      </c>
      <c r="BB106">
        <v>1</v>
      </c>
      <c r="BC106">
        <v>5.09</v>
      </c>
      <c r="BH106">
        <v>3</v>
      </c>
      <c r="BI106">
        <v>2</v>
      </c>
      <c r="BJ106" t="s">
        <v>255</v>
      </c>
      <c r="BM106">
        <v>1618</v>
      </c>
      <c r="BN106">
        <v>0</v>
      </c>
      <c r="BO106" t="s">
        <v>253</v>
      </c>
      <c r="BP106">
        <v>1</v>
      </c>
      <c r="BQ106">
        <v>201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0</v>
      </c>
      <c r="CA106">
        <v>0</v>
      </c>
      <c r="CF106">
        <v>0</v>
      </c>
      <c r="CG106">
        <v>0</v>
      </c>
      <c r="CM106">
        <v>0</v>
      </c>
      <c r="CO106">
        <v>0</v>
      </c>
      <c r="CP106">
        <f t="shared" si="66"/>
        <v>178.3</v>
      </c>
      <c r="CQ106">
        <f t="shared" si="67"/>
        <v>178.3027</v>
      </c>
      <c r="CR106">
        <f t="shared" si="68"/>
        <v>0</v>
      </c>
      <c r="CS106">
        <f t="shared" si="69"/>
        <v>0</v>
      </c>
      <c r="CT106">
        <f t="shared" si="70"/>
        <v>0</v>
      </c>
      <c r="CU106">
        <f t="shared" si="71"/>
        <v>0</v>
      </c>
      <c r="CV106">
        <f t="shared" si="72"/>
        <v>0</v>
      </c>
      <c r="CW106">
        <f t="shared" si="73"/>
        <v>0</v>
      </c>
      <c r="CX106">
        <f t="shared" si="74"/>
        <v>0</v>
      </c>
      <c r="CY106">
        <f t="shared" si="75"/>
        <v>0</v>
      </c>
      <c r="CZ106">
        <f t="shared" si="76"/>
        <v>0</v>
      </c>
      <c r="DN106">
        <v>0</v>
      </c>
      <c r="DO106">
        <v>0</v>
      </c>
      <c r="DP106">
        <v>1</v>
      </c>
      <c r="DQ106">
        <v>1</v>
      </c>
      <c r="DR106">
        <v>5.09</v>
      </c>
      <c r="DS106">
        <v>5.09</v>
      </c>
      <c r="DT106">
        <v>1</v>
      </c>
      <c r="DU106">
        <v>1010</v>
      </c>
      <c r="DV106" t="s">
        <v>22</v>
      </c>
      <c r="DW106" t="s">
        <v>22</v>
      </c>
      <c r="DX106">
        <v>1</v>
      </c>
      <c r="EE106">
        <v>18685172</v>
      </c>
      <c r="EF106">
        <v>201</v>
      </c>
      <c r="EG106" t="s">
        <v>216</v>
      </c>
      <c r="EH106">
        <v>0</v>
      </c>
      <c r="EJ106">
        <v>2</v>
      </c>
      <c r="EK106">
        <v>1618</v>
      </c>
      <c r="EL106" t="s">
        <v>217</v>
      </c>
      <c r="EM106" t="s">
        <v>218</v>
      </c>
      <c r="EQ106">
        <v>0</v>
      </c>
      <c r="ER106">
        <v>0</v>
      </c>
      <c r="ES106">
        <v>35.03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Q106">
        <v>0</v>
      </c>
      <c r="FR106">
        <f t="shared" si="77"/>
        <v>0</v>
      </c>
      <c r="FS106">
        <v>0</v>
      </c>
      <c r="FX106">
        <v>0</v>
      </c>
      <c r="FY106">
        <v>0</v>
      </c>
      <c r="GA106">
        <v>35.03</v>
      </c>
      <c r="GB106">
        <v>35.03</v>
      </c>
      <c r="GC106">
        <v>0</v>
      </c>
      <c r="GD106">
        <v>0</v>
      </c>
      <c r="GE106">
        <v>0</v>
      </c>
      <c r="GF106">
        <v>35.03</v>
      </c>
      <c r="GG106">
        <v>35.03</v>
      </c>
      <c r="GH106">
        <v>0</v>
      </c>
      <c r="GI106">
        <v>0</v>
      </c>
      <c r="GJ106">
        <v>0</v>
      </c>
      <c r="GK106">
        <v>0</v>
      </c>
      <c r="GL106">
        <v>0</v>
      </c>
    </row>
    <row r="107" spans="1:194" ht="12.75">
      <c r="A107">
        <v>17</v>
      </c>
      <c r="B107">
        <v>1</v>
      </c>
      <c r="E107" t="s">
        <v>256</v>
      </c>
      <c r="F107" t="s">
        <v>257</v>
      </c>
      <c r="G107" t="s">
        <v>258</v>
      </c>
      <c r="H107" t="s">
        <v>259</v>
      </c>
      <c r="I107">
        <v>0.89</v>
      </c>
      <c r="J107">
        <v>0</v>
      </c>
      <c r="O107">
        <f t="shared" si="46"/>
        <v>182.6</v>
      </c>
      <c r="P107">
        <f t="shared" si="47"/>
        <v>182.6</v>
      </c>
      <c r="Q107">
        <f t="shared" si="48"/>
        <v>0</v>
      </c>
      <c r="R107">
        <f t="shared" si="49"/>
        <v>0</v>
      </c>
      <c r="S107">
        <f t="shared" si="50"/>
        <v>0</v>
      </c>
      <c r="T107">
        <f t="shared" si="51"/>
        <v>0</v>
      </c>
      <c r="U107">
        <f t="shared" si="52"/>
        <v>0</v>
      </c>
      <c r="V107">
        <f t="shared" si="53"/>
        <v>0</v>
      </c>
      <c r="W107">
        <f t="shared" si="54"/>
        <v>0</v>
      </c>
      <c r="X107">
        <f t="shared" si="55"/>
        <v>0</v>
      </c>
      <c r="Y107">
        <f t="shared" si="56"/>
        <v>0</v>
      </c>
      <c r="AA107">
        <v>0</v>
      </c>
      <c r="AB107">
        <f t="shared" si="57"/>
        <v>59.47</v>
      </c>
      <c r="AC107">
        <f t="shared" si="58"/>
        <v>59.47</v>
      </c>
      <c r="AD107">
        <f t="shared" si="59"/>
        <v>0</v>
      </c>
      <c r="AE107">
        <f t="shared" si="60"/>
        <v>0</v>
      </c>
      <c r="AF107">
        <f t="shared" si="61"/>
        <v>0</v>
      </c>
      <c r="AG107">
        <f t="shared" si="62"/>
        <v>0</v>
      </c>
      <c r="AH107">
        <f t="shared" si="63"/>
        <v>0</v>
      </c>
      <c r="AI107">
        <f t="shared" si="64"/>
        <v>0</v>
      </c>
      <c r="AJ107">
        <f t="shared" si="65"/>
        <v>0</v>
      </c>
      <c r="AK107">
        <v>59.47</v>
      </c>
      <c r="AL107">
        <v>59.47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X107">
        <v>3.45</v>
      </c>
      <c r="AY107">
        <v>1</v>
      </c>
      <c r="AZ107">
        <v>1</v>
      </c>
      <c r="BA107">
        <v>1</v>
      </c>
      <c r="BB107">
        <v>1</v>
      </c>
      <c r="BC107">
        <v>3.45</v>
      </c>
      <c r="BH107">
        <v>3</v>
      </c>
      <c r="BI107">
        <v>2</v>
      </c>
      <c r="BJ107" t="s">
        <v>260</v>
      </c>
      <c r="BM107">
        <v>1618</v>
      </c>
      <c r="BN107">
        <v>0</v>
      </c>
      <c r="BO107" t="s">
        <v>257</v>
      </c>
      <c r="BP107">
        <v>1</v>
      </c>
      <c r="BQ107">
        <v>201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0</v>
      </c>
      <c r="CA107">
        <v>0</v>
      </c>
      <c r="CF107">
        <v>0</v>
      </c>
      <c r="CG107">
        <v>0</v>
      </c>
      <c r="CM107">
        <v>0</v>
      </c>
      <c r="CO107">
        <v>0</v>
      </c>
      <c r="CP107">
        <f t="shared" si="66"/>
        <v>182.6</v>
      </c>
      <c r="CQ107">
        <f t="shared" si="67"/>
        <v>205.1715</v>
      </c>
      <c r="CR107">
        <f t="shared" si="68"/>
        <v>0</v>
      </c>
      <c r="CS107">
        <f t="shared" si="69"/>
        <v>0</v>
      </c>
      <c r="CT107">
        <f t="shared" si="70"/>
        <v>0</v>
      </c>
      <c r="CU107">
        <f t="shared" si="71"/>
        <v>0</v>
      </c>
      <c r="CV107">
        <f t="shared" si="72"/>
        <v>0</v>
      </c>
      <c r="CW107">
        <f t="shared" si="73"/>
        <v>0</v>
      </c>
      <c r="CX107">
        <f t="shared" si="74"/>
        <v>0</v>
      </c>
      <c r="CY107">
        <f t="shared" si="75"/>
        <v>0</v>
      </c>
      <c r="CZ107">
        <f t="shared" si="76"/>
        <v>0</v>
      </c>
      <c r="DN107">
        <v>0</v>
      </c>
      <c r="DO107">
        <v>0</v>
      </c>
      <c r="DP107">
        <v>1</v>
      </c>
      <c r="DQ107">
        <v>1</v>
      </c>
      <c r="DR107">
        <v>3.45</v>
      </c>
      <c r="DS107">
        <v>3.45</v>
      </c>
      <c r="DT107">
        <v>1</v>
      </c>
      <c r="DU107">
        <v>1010</v>
      </c>
      <c r="DV107" t="s">
        <v>259</v>
      </c>
      <c r="DW107" t="s">
        <v>259</v>
      </c>
      <c r="DX107">
        <v>100</v>
      </c>
      <c r="EE107">
        <v>18685172</v>
      </c>
      <c r="EF107">
        <v>201</v>
      </c>
      <c r="EG107" t="s">
        <v>216</v>
      </c>
      <c r="EH107">
        <v>0</v>
      </c>
      <c r="EJ107">
        <v>2</v>
      </c>
      <c r="EK107">
        <v>1618</v>
      </c>
      <c r="EL107" t="s">
        <v>217</v>
      </c>
      <c r="EM107" t="s">
        <v>218</v>
      </c>
      <c r="EQ107">
        <v>0</v>
      </c>
      <c r="ER107">
        <v>0</v>
      </c>
      <c r="ES107">
        <v>59.47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Q107">
        <v>0</v>
      </c>
      <c r="FR107">
        <f t="shared" si="77"/>
        <v>0</v>
      </c>
      <c r="FS107">
        <v>0</v>
      </c>
      <c r="FX107">
        <v>0</v>
      </c>
      <c r="FY107">
        <v>0</v>
      </c>
      <c r="GA107">
        <v>59.47</v>
      </c>
      <c r="GB107">
        <v>59.47</v>
      </c>
      <c r="GC107">
        <v>0</v>
      </c>
      <c r="GD107">
        <v>0</v>
      </c>
      <c r="GE107">
        <v>0</v>
      </c>
      <c r="GF107">
        <v>59.47</v>
      </c>
      <c r="GG107">
        <v>59.47</v>
      </c>
      <c r="GH107">
        <v>0</v>
      </c>
      <c r="GI107">
        <v>0</v>
      </c>
      <c r="GJ107">
        <v>0</v>
      </c>
      <c r="GK107">
        <v>0</v>
      </c>
      <c r="GL107">
        <v>0</v>
      </c>
    </row>
    <row r="108" spans="1:194" ht="12.75">
      <c r="A108">
        <v>17</v>
      </c>
      <c r="B108">
        <v>1</v>
      </c>
      <c r="E108" t="s">
        <v>261</v>
      </c>
      <c r="F108" t="s">
        <v>262</v>
      </c>
      <c r="G108" t="s">
        <v>263</v>
      </c>
      <c r="H108" t="s">
        <v>264</v>
      </c>
      <c r="I108">
        <v>4</v>
      </c>
      <c r="J108">
        <v>0</v>
      </c>
      <c r="O108">
        <f t="shared" si="46"/>
        <v>3429.32</v>
      </c>
      <c r="P108">
        <f t="shared" si="47"/>
        <v>3429.32</v>
      </c>
      <c r="Q108">
        <f t="shared" si="48"/>
        <v>0</v>
      </c>
      <c r="R108">
        <f t="shared" si="49"/>
        <v>0</v>
      </c>
      <c r="S108">
        <f t="shared" si="50"/>
        <v>0</v>
      </c>
      <c r="T108">
        <f t="shared" si="51"/>
        <v>0</v>
      </c>
      <c r="U108">
        <f t="shared" si="52"/>
        <v>0</v>
      </c>
      <c r="V108">
        <f t="shared" si="53"/>
        <v>0</v>
      </c>
      <c r="W108">
        <f t="shared" si="54"/>
        <v>0</v>
      </c>
      <c r="X108">
        <f t="shared" si="55"/>
        <v>0</v>
      </c>
      <c r="Y108">
        <f t="shared" si="56"/>
        <v>0</v>
      </c>
      <c r="AA108">
        <v>0</v>
      </c>
      <c r="AB108">
        <f t="shared" si="57"/>
        <v>314.04</v>
      </c>
      <c r="AC108">
        <f t="shared" si="58"/>
        <v>314.04</v>
      </c>
      <c r="AD108">
        <f t="shared" si="59"/>
        <v>0</v>
      </c>
      <c r="AE108">
        <f t="shared" si="60"/>
        <v>0</v>
      </c>
      <c r="AF108">
        <f t="shared" si="61"/>
        <v>0</v>
      </c>
      <c r="AG108">
        <f t="shared" si="62"/>
        <v>0</v>
      </c>
      <c r="AH108">
        <f t="shared" si="63"/>
        <v>0</v>
      </c>
      <c r="AI108">
        <f t="shared" si="64"/>
        <v>0</v>
      </c>
      <c r="AJ108">
        <f t="shared" si="65"/>
        <v>0</v>
      </c>
      <c r="AK108">
        <v>314.04</v>
      </c>
      <c r="AL108">
        <v>314.04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X108">
        <v>2.73</v>
      </c>
      <c r="AY108">
        <v>1</v>
      </c>
      <c r="AZ108">
        <v>1</v>
      </c>
      <c r="BA108">
        <v>1</v>
      </c>
      <c r="BB108">
        <v>1</v>
      </c>
      <c r="BC108">
        <v>2.73</v>
      </c>
      <c r="BH108">
        <v>3</v>
      </c>
      <c r="BI108">
        <v>2</v>
      </c>
      <c r="BJ108" t="s">
        <v>265</v>
      </c>
      <c r="BM108">
        <v>1618</v>
      </c>
      <c r="BN108">
        <v>0</v>
      </c>
      <c r="BO108" t="s">
        <v>262</v>
      </c>
      <c r="BP108">
        <v>1</v>
      </c>
      <c r="BQ108">
        <v>201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0</v>
      </c>
      <c r="CA108">
        <v>0</v>
      </c>
      <c r="CF108">
        <v>0</v>
      </c>
      <c r="CG108">
        <v>0</v>
      </c>
      <c r="CM108">
        <v>0</v>
      </c>
      <c r="CO108">
        <v>0</v>
      </c>
      <c r="CP108">
        <f t="shared" si="66"/>
        <v>3429.32</v>
      </c>
      <c r="CQ108">
        <f t="shared" si="67"/>
        <v>857.3292</v>
      </c>
      <c r="CR108">
        <f t="shared" si="68"/>
        <v>0</v>
      </c>
      <c r="CS108">
        <f t="shared" si="69"/>
        <v>0</v>
      </c>
      <c r="CT108">
        <f t="shared" si="70"/>
        <v>0</v>
      </c>
      <c r="CU108">
        <f t="shared" si="71"/>
        <v>0</v>
      </c>
      <c r="CV108">
        <f t="shared" si="72"/>
        <v>0</v>
      </c>
      <c r="CW108">
        <f t="shared" si="73"/>
        <v>0</v>
      </c>
      <c r="CX108">
        <f t="shared" si="74"/>
        <v>0</v>
      </c>
      <c r="CY108">
        <f t="shared" si="75"/>
        <v>0</v>
      </c>
      <c r="CZ108">
        <f t="shared" si="76"/>
        <v>0</v>
      </c>
      <c r="DN108">
        <v>0</v>
      </c>
      <c r="DO108">
        <v>0</v>
      </c>
      <c r="DP108">
        <v>1</v>
      </c>
      <c r="DQ108">
        <v>1</v>
      </c>
      <c r="DR108">
        <v>2.73</v>
      </c>
      <c r="DS108">
        <v>2.73</v>
      </c>
      <c r="DT108">
        <v>1</v>
      </c>
      <c r="DU108">
        <v>1013</v>
      </c>
      <c r="DV108" t="s">
        <v>264</v>
      </c>
      <c r="DW108" t="s">
        <v>264</v>
      </c>
      <c r="DX108">
        <v>1</v>
      </c>
      <c r="EE108">
        <v>18685172</v>
      </c>
      <c r="EF108">
        <v>201</v>
      </c>
      <c r="EG108" t="s">
        <v>216</v>
      </c>
      <c r="EH108">
        <v>0</v>
      </c>
      <c r="EJ108">
        <v>2</v>
      </c>
      <c r="EK108">
        <v>1618</v>
      </c>
      <c r="EL108" t="s">
        <v>217</v>
      </c>
      <c r="EM108" t="s">
        <v>218</v>
      </c>
      <c r="EQ108">
        <v>0</v>
      </c>
      <c r="ER108">
        <v>0</v>
      </c>
      <c r="ES108">
        <v>314.04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Q108">
        <v>0</v>
      </c>
      <c r="FR108">
        <f t="shared" si="77"/>
        <v>0</v>
      </c>
      <c r="FS108">
        <v>0</v>
      </c>
      <c r="FX108">
        <v>0</v>
      </c>
      <c r="FY108">
        <v>0</v>
      </c>
      <c r="GA108">
        <v>314.04</v>
      </c>
      <c r="GB108">
        <v>314.04</v>
      </c>
      <c r="GC108">
        <v>0</v>
      </c>
      <c r="GD108">
        <v>0</v>
      </c>
      <c r="GE108">
        <v>0</v>
      </c>
      <c r="GF108">
        <v>314.04</v>
      </c>
      <c r="GG108">
        <v>314.04</v>
      </c>
      <c r="GH108">
        <v>0</v>
      </c>
      <c r="GI108">
        <v>0</v>
      </c>
      <c r="GJ108">
        <v>0</v>
      </c>
      <c r="GK108">
        <v>0</v>
      </c>
      <c r="GL108">
        <v>0</v>
      </c>
    </row>
    <row r="109" spans="1:194" ht="12.75">
      <c r="A109">
        <v>17</v>
      </c>
      <c r="B109">
        <v>1</v>
      </c>
      <c r="E109" t="s">
        <v>266</v>
      </c>
      <c r="F109" t="s">
        <v>267</v>
      </c>
      <c r="G109" t="s">
        <v>268</v>
      </c>
      <c r="H109" t="s">
        <v>22</v>
      </c>
      <c r="I109">
        <v>2</v>
      </c>
      <c r="J109">
        <v>0</v>
      </c>
      <c r="O109">
        <f t="shared" si="46"/>
        <v>43.61</v>
      </c>
      <c r="P109">
        <f t="shared" si="47"/>
        <v>43.61</v>
      </c>
      <c r="Q109">
        <f t="shared" si="48"/>
        <v>0</v>
      </c>
      <c r="R109">
        <f t="shared" si="49"/>
        <v>0</v>
      </c>
      <c r="S109">
        <f t="shared" si="50"/>
        <v>0</v>
      </c>
      <c r="T109">
        <f t="shared" si="51"/>
        <v>0</v>
      </c>
      <c r="U109">
        <f t="shared" si="52"/>
        <v>0</v>
      </c>
      <c r="V109">
        <f t="shared" si="53"/>
        <v>0</v>
      </c>
      <c r="W109">
        <f t="shared" si="54"/>
        <v>0</v>
      </c>
      <c r="X109">
        <f t="shared" si="55"/>
        <v>0</v>
      </c>
      <c r="Y109">
        <f t="shared" si="56"/>
        <v>0</v>
      </c>
      <c r="AA109">
        <v>0</v>
      </c>
      <c r="AB109">
        <f t="shared" si="57"/>
        <v>13.89</v>
      </c>
      <c r="AC109">
        <f t="shared" si="58"/>
        <v>13.89</v>
      </c>
      <c r="AD109">
        <f t="shared" si="59"/>
        <v>0</v>
      </c>
      <c r="AE109">
        <f t="shared" si="60"/>
        <v>0</v>
      </c>
      <c r="AF109">
        <f t="shared" si="61"/>
        <v>0</v>
      </c>
      <c r="AG109">
        <f t="shared" si="62"/>
        <v>0</v>
      </c>
      <c r="AH109">
        <f t="shared" si="63"/>
        <v>0</v>
      </c>
      <c r="AI109">
        <f t="shared" si="64"/>
        <v>0</v>
      </c>
      <c r="AJ109">
        <f t="shared" si="65"/>
        <v>0</v>
      </c>
      <c r="AK109">
        <v>13.89</v>
      </c>
      <c r="AL109">
        <v>13.89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X109">
        <v>1.57</v>
      </c>
      <c r="AY109">
        <v>1</v>
      </c>
      <c r="AZ109">
        <v>1</v>
      </c>
      <c r="BA109">
        <v>1</v>
      </c>
      <c r="BB109">
        <v>1</v>
      </c>
      <c r="BC109">
        <v>1.57</v>
      </c>
      <c r="BH109">
        <v>3</v>
      </c>
      <c r="BI109">
        <v>2</v>
      </c>
      <c r="BJ109" t="s">
        <v>269</v>
      </c>
      <c r="BM109">
        <v>1618</v>
      </c>
      <c r="BN109">
        <v>0</v>
      </c>
      <c r="BO109" t="s">
        <v>267</v>
      </c>
      <c r="BP109">
        <v>1</v>
      </c>
      <c r="BQ109">
        <v>201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0</v>
      </c>
      <c r="CA109">
        <v>0</v>
      </c>
      <c r="CF109">
        <v>0</v>
      </c>
      <c r="CG109">
        <v>0</v>
      </c>
      <c r="CM109">
        <v>0</v>
      </c>
      <c r="CO109">
        <v>0</v>
      </c>
      <c r="CP109">
        <f t="shared" si="66"/>
        <v>43.61</v>
      </c>
      <c r="CQ109">
        <f t="shared" si="67"/>
        <v>21.8073</v>
      </c>
      <c r="CR109">
        <f t="shared" si="68"/>
        <v>0</v>
      </c>
      <c r="CS109">
        <f t="shared" si="69"/>
        <v>0</v>
      </c>
      <c r="CT109">
        <f t="shared" si="70"/>
        <v>0</v>
      </c>
      <c r="CU109">
        <f t="shared" si="71"/>
        <v>0</v>
      </c>
      <c r="CV109">
        <f t="shared" si="72"/>
        <v>0</v>
      </c>
      <c r="CW109">
        <f t="shared" si="73"/>
        <v>0</v>
      </c>
      <c r="CX109">
        <f t="shared" si="74"/>
        <v>0</v>
      </c>
      <c r="CY109">
        <f t="shared" si="75"/>
        <v>0</v>
      </c>
      <c r="CZ109">
        <f t="shared" si="76"/>
        <v>0</v>
      </c>
      <c r="DN109">
        <v>0</v>
      </c>
      <c r="DO109">
        <v>0</v>
      </c>
      <c r="DP109">
        <v>1</v>
      </c>
      <c r="DQ109">
        <v>1</v>
      </c>
      <c r="DR109">
        <v>1.57</v>
      </c>
      <c r="DS109">
        <v>1.57</v>
      </c>
      <c r="DT109">
        <v>1</v>
      </c>
      <c r="DU109">
        <v>1010</v>
      </c>
      <c r="DV109" t="s">
        <v>22</v>
      </c>
      <c r="DW109" t="s">
        <v>22</v>
      </c>
      <c r="DX109">
        <v>1</v>
      </c>
      <c r="EE109">
        <v>18685172</v>
      </c>
      <c r="EF109">
        <v>201</v>
      </c>
      <c r="EG109" t="s">
        <v>216</v>
      </c>
      <c r="EH109">
        <v>0</v>
      </c>
      <c r="EJ109">
        <v>2</v>
      </c>
      <c r="EK109">
        <v>1618</v>
      </c>
      <c r="EL109" t="s">
        <v>217</v>
      </c>
      <c r="EM109" t="s">
        <v>218</v>
      </c>
      <c r="EQ109">
        <v>0</v>
      </c>
      <c r="ER109">
        <v>0</v>
      </c>
      <c r="ES109">
        <v>13.89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Q109">
        <v>0</v>
      </c>
      <c r="FR109">
        <f t="shared" si="77"/>
        <v>0</v>
      </c>
      <c r="FS109">
        <v>0</v>
      </c>
      <c r="FX109">
        <v>0</v>
      </c>
      <c r="FY109">
        <v>0</v>
      </c>
      <c r="GA109">
        <v>13.89</v>
      </c>
      <c r="GB109">
        <v>13.89</v>
      </c>
      <c r="GC109">
        <v>0</v>
      </c>
      <c r="GD109">
        <v>0</v>
      </c>
      <c r="GE109">
        <v>0</v>
      </c>
      <c r="GF109">
        <v>13.89</v>
      </c>
      <c r="GG109">
        <v>13.89</v>
      </c>
      <c r="GH109">
        <v>0</v>
      </c>
      <c r="GI109">
        <v>0</v>
      </c>
      <c r="GJ109">
        <v>0</v>
      </c>
      <c r="GK109">
        <v>0</v>
      </c>
      <c r="GL109">
        <v>0</v>
      </c>
    </row>
    <row r="110" spans="1:194" ht="12.75">
      <c r="A110">
        <v>17</v>
      </c>
      <c r="B110">
        <v>1</v>
      </c>
      <c r="E110" t="s">
        <v>270</v>
      </c>
      <c r="F110" t="s">
        <v>220</v>
      </c>
      <c r="G110" t="s">
        <v>271</v>
      </c>
      <c r="H110" t="s">
        <v>230</v>
      </c>
      <c r="I110">
        <v>4.08</v>
      </c>
      <c r="J110">
        <v>0</v>
      </c>
      <c r="O110">
        <f t="shared" si="46"/>
        <v>33.54</v>
      </c>
      <c r="P110">
        <f t="shared" si="47"/>
        <v>33.54</v>
      </c>
      <c r="Q110">
        <f t="shared" si="48"/>
        <v>0</v>
      </c>
      <c r="R110">
        <f t="shared" si="49"/>
        <v>0</v>
      </c>
      <c r="S110">
        <f t="shared" si="50"/>
        <v>0</v>
      </c>
      <c r="T110">
        <f t="shared" si="51"/>
        <v>0</v>
      </c>
      <c r="U110">
        <f t="shared" si="52"/>
        <v>0</v>
      </c>
      <c r="V110">
        <f t="shared" si="53"/>
        <v>0</v>
      </c>
      <c r="W110">
        <f t="shared" si="54"/>
        <v>0</v>
      </c>
      <c r="X110">
        <f t="shared" si="55"/>
        <v>0</v>
      </c>
      <c r="Y110">
        <f t="shared" si="56"/>
        <v>0</v>
      </c>
      <c r="AA110">
        <v>0</v>
      </c>
      <c r="AB110">
        <f t="shared" si="57"/>
        <v>1.93</v>
      </c>
      <c r="AC110">
        <f t="shared" si="58"/>
        <v>1.93</v>
      </c>
      <c r="AD110">
        <f t="shared" si="59"/>
        <v>0</v>
      </c>
      <c r="AE110">
        <f t="shared" si="60"/>
        <v>0</v>
      </c>
      <c r="AF110">
        <f t="shared" si="61"/>
        <v>0</v>
      </c>
      <c r="AG110">
        <f t="shared" si="62"/>
        <v>0</v>
      </c>
      <c r="AH110">
        <f t="shared" si="63"/>
        <v>0</v>
      </c>
      <c r="AI110">
        <f t="shared" si="64"/>
        <v>0</v>
      </c>
      <c r="AJ110">
        <f t="shared" si="65"/>
        <v>0</v>
      </c>
      <c r="AK110">
        <v>1.93</v>
      </c>
      <c r="AL110">
        <v>1.93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4.26</v>
      </c>
      <c r="AY110">
        <v>1</v>
      </c>
      <c r="AZ110">
        <v>1</v>
      </c>
      <c r="BA110">
        <v>1</v>
      </c>
      <c r="BB110">
        <v>1</v>
      </c>
      <c r="BC110">
        <v>4.26</v>
      </c>
      <c r="BH110">
        <v>3</v>
      </c>
      <c r="BI110">
        <v>2</v>
      </c>
      <c r="BM110">
        <v>0</v>
      </c>
      <c r="BN110">
        <v>0</v>
      </c>
      <c r="BP110">
        <v>0</v>
      </c>
      <c r="BQ110">
        <v>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0</v>
      </c>
      <c r="CA110">
        <v>0</v>
      </c>
      <c r="CF110">
        <v>0</v>
      </c>
      <c r="CG110">
        <v>0</v>
      </c>
      <c r="CM110">
        <v>0</v>
      </c>
      <c r="CO110">
        <v>0</v>
      </c>
      <c r="CP110">
        <f t="shared" si="66"/>
        <v>33.54</v>
      </c>
      <c r="CQ110">
        <f t="shared" si="67"/>
        <v>8.2218</v>
      </c>
      <c r="CR110">
        <f t="shared" si="68"/>
        <v>0</v>
      </c>
      <c r="CS110">
        <f t="shared" si="69"/>
        <v>0</v>
      </c>
      <c r="CT110">
        <f t="shared" si="70"/>
        <v>0</v>
      </c>
      <c r="CU110">
        <f t="shared" si="71"/>
        <v>0</v>
      </c>
      <c r="CV110">
        <f t="shared" si="72"/>
        <v>0</v>
      </c>
      <c r="CW110">
        <f t="shared" si="73"/>
        <v>0</v>
      </c>
      <c r="CX110">
        <f t="shared" si="74"/>
        <v>0</v>
      </c>
      <c r="CY110">
        <f t="shared" si="75"/>
        <v>0</v>
      </c>
      <c r="CZ110">
        <f t="shared" si="76"/>
        <v>0</v>
      </c>
      <c r="DN110">
        <v>0</v>
      </c>
      <c r="DO110">
        <v>0</v>
      </c>
      <c r="DP110">
        <v>1</v>
      </c>
      <c r="DQ110">
        <v>1</v>
      </c>
      <c r="DR110">
        <v>4.26</v>
      </c>
      <c r="DS110">
        <v>4.26</v>
      </c>
      <c r="DT110">
        <v>1</v>
      </c>
      <c r="DU110">
        <v>1003</v>
      </c>
      <c r="DV110" t="s">
        <v>230</v>
      </c>
      <c r="DW110" t="s">
        <v>230</v>
      </c>
      <c r="DX110">
        <v>1</v>
      </c>
      <c r="EE110">
        <v>18683554</v>
      </c>
      <c r="EF110">
        <v>0</v>
      </c>
      <c r="EH110">
        <v>0</v>
      </c>
      <c r="EJ110">
        <v>4</v>
      </c>
      <c r="EK110">
        <v>0</v>
      </c>
      <c r="EL110" t="s">
        <v>223</v>
      </c>
      <c r="EM110" t="s">
        <v>224</v>
      </c>
      <c r="EQ110">
        <v>0</v>
      </c>
      <c r="ER110">
        <v>0</v>
      </c>
      <c r="ES110">
        <v>1.93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Q110">
        <v>0</v>
      </c>
      <c r="FR110">
        <f t="shared" si="77"/>
        <v>0</v>
      </c>
      <c r="FS110">
        <v>0</v>
      </c>
      <c r="FX110">
        <v>0</v>
      </c>
      <c r="FY110">
        <v>0</v>
      </c>
      <c r="GA110">
        <v>1.93</v>
      </c>
      <c r="GB110">
        <v>1.93</v>
      </c>
      <c r="GC110">
        <v>0</v>
      </c>
      <c r="GD110">
        <v>0</v>
      </c>
      <c r="GE110">
        <v>0</v>
      </c>
      <c r="GF110">
        <v>1.93</v>
      </c>
      <c r="GG110">
        <v>1.93</v>
      </c>
      <c r="GH110">
        <v>0</v>
      </c>
      <c r="GI110">
        <v>0</v>
      </c>
      <c r="GJ110">
        <v>0</v>
      </c>
      <c r="GK110">
        <v>1</v>
      </c>
      <c r="GL110">
        <v>0</v>
      </c>
    </row>
    <row r="111" spans="1:194" ht="12.75">
      <c r="A111">
        <v>17</v>
      </c>
      <c r="B111">
        <v>1</v>
      </c>
      <c r="E111" t="s">
        <v>272</v>
      </c>
      <c r="F111" t="s">
        <v>220</v>
      </c>
      <c r="G111" t="s">
        <v>273</v>
      </c>
      <c r="H111" t="s">
        <v>230</v>
      </c>
      <c r="I111">
        <v>90.78</v>
      </c>
      <c r="J111">
        <v>0</v>
      </c>
      <c r="O111">
        <f t="shared" si="46"/>
        <v>2869.48</v>
      </c>
      <c r="P111">
        <f t="shared" si="47"/>
        <v>2869.48</v>
      </c>
      <c r="Q111">
        <f t="shared" si="48"/>
        <v>0</v>
      </c>
      <c r="R111">
        <f t="shared" si="49"/>
        <v>0</v>
      </c>
      <c r="S111">
        <f t="shared" si="50"/>
        <v>0</v>
      </c>
      <c r="T111">
        <f t="shared" si="51"/>
        <v>0</v>
      </c>
      <c r="U111">
        <f t="shared" si="52"/>
        <v>0</v>
      </c>
      <c r="V111">
        <f t="shared" si="53"/>
        <v>0</v>
      </c>
      <c r="W111">
        <f t="shared" si="54"/>
        <v>0</v>
      </c>
      <c r="X111">
        <f t="shared" si="55"/>
        <v>0</v>
      </c>
      <c r="Y111">
        <f t="shared" si="56"/>
        <v>0</v>
      </c>
      <c r="AA111">
        <v>0</v>
      </c>
      <c r="AB111">
        <f t="shared" si="57"/>
        <v>7.42</v>
      </c>
      <c r="AC111">
        <f t="shared" si="58"/>
        <v>7.42</v>
      </c>
      <c r="AD111">
        <f t="shared" si="59"/>
        <v>0</v>
      </c>
      <c r="AE111">
        <f t="shared" si="60"/>
        <v>0</v>
      </c>
      <c r="AF111">
        <f t="shared" si="61"/>
        <v>0</v>
      </c>
      <c r="AG111">
        <f t="shared" si="62"/>
        <v>0</v>
      </c>
      <c r="AH111">
        <f t="shared" si="63"/>
        <v>0</v>
      </c>
      <c r="AI111">
        <f t="shared" si="64"/>
        <v>0</v>
      </c>
      <c r="AJ111">
        <f t="shared" si="65"/>
        <v>0</v>
      </c>
      <c r="AK111">
        <v>7.42</v>
      </c>
      <c r="AL111">
        <v>7.42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4.26</v>
      </c>
      <c r="AY111">
        <v>1</v>
      </c>
      <c r="AZ111">
        <v>1</v>
      </c>
      <c r="BA111">
        <v>1</v>
      </c>
      <c r="BB111">
        <v>1</v>
      </c>
      <c r="BC111">
        <v>4.26</v>
      </c>
      <c r="BH111">
        <v>3</v>
      </c>
      <c r="BI111">
        <v>2</v>
      </c>
      <c r="BM111">
        <v>0</v>
      </c>
      <c r="BN111">
        <v>0</v>
      </c>
      <c r="BP111">
        <v>0</v>
      </c>
      <c r="BQ111">
        <v>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 t="shared" si="66"/>
        <v>2869.48</v>
      </c>
      <c r="CQ111">
        <f t="shared" si="67"/>
        <v>31.609199999999998</v>
      </c>
      <c r="CR111">
        <f t="shared" si="68"/>
        <v>0</v>
      </c>
      <c r="CS111">
        <f t="shared" si="69"/>
        <v>0</v>
      </c>
      <c r="CT111">
        <f t="shared" si="70"/>
        <v>0</v>
      </c>
      <c r="CU111">
        <f t="shared" si="71"/>
        <v>0</v>
      </c>
      <c r="CV111">
        <f t="shared" si="72"/>
        <v>0</v>
      </c>
      <c r="CW111">
        <f t="shared" si="73"/>
        <v>0</v>
      </c>
      <c r="CX111">
        <f t="shared" si="74"/>
        <v>0</v>
      </c>
      <c r="CY111">
        <f t="shared" si="75"/>
        <v>0</v>
      </c>
      <c r="CZ111">
        <f t="shared" si="76"/>
        <v>0</v>
      </c>
      <c r="DN111">
        <v>0</v>
      </c>
      <c r="DO111">
        <v>0</v>
      </c>
      <c r="DP111">
        <v>1</v>
      </c>
      <c r="DQ111">
        <v>1</v>
      </c>
      <c r="DR111">
        <v>4.26</v>
      </c>
      <c r="DS111">
        <v>4.26</v>
      </c>
      <c r="DT111">
        <v>1</v>
      </c>
      <c r="DU111">
        <v>1003</v>
      </c>
      <c r="DV111" t="s">
        <v>230</v>
      </c>
      <c r="DW111" t="s">
        <v>230</v>
      </c>
      <c r="DX111">
        <v>1</v>
      </c>
      <c r="EE111">
        <v>18683554</v>
      </c>
      <c r="EF111">
        <v>0</v>
      </c>
      <c r="EH111">
        <v>0</v>
      </c>
      <c r="EJ111">
        <v>4</v>
      </c>
      <c r="EK111">
        <v>0</v>
      </c>
      <c r="EL111" t="s">
        <v>223</v>
      </c>
      <c r="EM111" t="s">
        <v>224</v>
      </c>
      <c r="EQ111">
        <v>0</v>
      </c>
      <c r="ER111">
        <v>0</v>
      </c>
      <c r="ES111">
        <v>7.42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Q111">
        <v>0</v>
      </c>
      <c r="FR111">
        <f t="shared" si="77"/>
        <v>0</v>
      </c>
      <c r="FS111">
        <v>0</v>
      </c>
      <c r="FX111">
        <v>0</v>
      </c>
      <c r="FY111">
        <v>0</v>
      </c>
      <c r="GA111">
        <v>7.42</v>
      </c>
      <c r="GB111">
        <v>7.42</v>
      </c>
      <c r="GC111">
        <v>0</v>
      </c>
      <c r="GD111">
        <v>0</v>
      </c>
      <c r="GE111">
        <v>0</v>
      </c>
      <c r="GF111">
        <v>7.42</v>
      </c>
      <c r="GG111">
        <v>7.42</v>
      </c>
      <c r="GH111">
        <v>0</v>
      </c>
      <c r="GI111">
        <v>0</v>
      </c>
      <c r="GJ111">
        <v>0</v>
      </c>
      <c r="GK111">
        <v>1</v>
      </c>
      <c r="GL111">
        <v>0</v>
      </c>
    </row>
    <row r="112" spans="1:194" ht="12.75">
      <c r="A112">
        <v>17</v>
      </c>
      <c r="B112">
        <v>1</v>
      </c>
      <c r="E112" t="s">
        <v>274</v>
      </c>
      <c r="F112" t="s">
        <v>220</v>
      </c>
      <c r="G112" t="s">
        <v>275</v>
      </c>
      <c r="H112" t="s">
        <v>276</v>
      </c>
      <c r="I112">
        <v>1</v>
      </c>
      <c r="J112">
        <v>0</v>
      </c>
      <c r="O112">
        <f t="shared" si="46"/>
        <v>165.97</v>
      </c>
      <c r="P112">
        <f t="shared" si="47"/>
        <v>165.97</v>
      </c>
      <c r="Q112">
        <f t="shared" si="48"/>
        <v>0</v>
      </c>
      <c r="R112">
        <f t="shared" si="49"/>
        <v>0</v>
      </c>
      <c r="S112">
        <f t="shared" si="50"/>
        <v>0</v>
      </c>
      <c r="T112">
        <f t="shared" si="51"/>
        <v>0</v>
      </c>
      <c r="U112">
        <f t="shared" si="52"/>
        <v>0</v>
      </c>
      <c r="V112">
        <f t="shared" si="53"/>
        <v>0</v>
      </c>
      <c r="W112">
        <f t="shared" si="54"/>
        <v>0</v>
      </c>
      <c r="X112">
        <f t="shared" si="55"/>
        <v>0</v>
      </c>
      <c r="Y112">
        <f t="shared" si="56"/>
        <v>0</v>
      </c>
      <c r="AA112">
        <v>0</v>
      </c>
      <c r="AB112">
        <f t="shared" si="57"/>
        <v>38.96</v>
      </c>
      <c r="AC112">
        <f t="shared" si="58"/>
        <v>38.96</v>
      </c>
      <c r="AD112">
        <f t="shared" si="59"/>
        <v>0</v>
      </c>
      <c r="AE112">
        <f t="shared" si="60"/>
        <v>0</v>
      </c>
      <c r="AF112">
        <f t="shared" si="61"/>
        <v>0</v>
      </c>
      <c r="AG112">
        <f t="shared" si="62"/>
        <v>0</v>
      </c>
      <c r="AH112">
        <f t="shared" si="63"/>
        <v>0</v>
      </c>
      <c r="AI112">
        <f t="shared" si="64"/>
        <v>0</v>
      </c>
      <c r="AJ112">
        <f t="shared" si="65"/>
        <v>0</v>
      </c>
      <c r="AK112">
        <v>38.96</v>
      </c>
      <c r="AL112">
        <v>38.96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4.26</v>
      </c>
      <c r="AY112">
        <v>1</v>
      </c>
      <c r="AZ112">
        <v>1</v>
      </c>
      <c r="BA112">
        <v>1</v>
      </c>
      <c r="BB112">
        <v>1</v>
      </c>
      <c r="BC112">
        <v>4.26</v>
      </c>
      <c r="BH112">
        <v>3</v>
      </c>
      <c r="BI112">
        <v>2</v>
      </c>
      <c r="BM112">
        <v>0</v>
      </c>
      <c r="BN112">
        <v>0</v>
      </c>
      <c r="BP112">
        <v>0</v>
      </c>
      <c r="BQ112">
        <v>0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0</v>
      </c>
      <c r="CA112">
        <v>0</v>
      </c>
      <c r="CF112">
        <v>0</v>
      </c>
      <c r="CG112">
        <v>0</v>
      </c>
      <c r="CM112">
        <v>0</v>
      </c>
      <c r="CO112">
        <v>0</v>
      </c>
      <c r="CP112">
        <f t="shared" si="66"/>
        <v>165.97</v>
      </c>
      <c r="CQ112">
        <f t="shared" si="67"/>
        <v>165.96959999999999</v>
      </c>
      <c r="CR112">
        <f t="shared" si="68"/>
        <v>0</v>
      </c>
      <c r="CS112">
        <f t="shared" si="69"/>
        <v>0</v>
      </c>
      <c r="CT112">
        <f t="shared" si="70"/>
        <v>0</v>
      </c>
      <c r="CU112">
        <f t="shared" si="71"/>
        <v>0</v>
      </c>
      <c r="CV112">
        <f t="shared" si="72"/>
        <v>0</v>
      </c>
      <c r="CW112">
        <f t="shared" si="73"/>
        <v>0</v>
      </c>
      <c r="CX112">
        <f t="shared" si="74"/>
        <v>0</v>
      </c>
      <c r="CY112">
        <f t="shared" si="75"/>
        <v>0</v>
      </c>
      <c r="CZ112">
        <f t="shared" si="76"/>
        <v>0</v>
      </c>
      <c r="DN112">
        <v>0</v>
      </c>
      <c r="DO112">
        <v>0</v>
      </c>
      <c r="DP112">
        <v>1</v>
      </c>
      <c r="DQ112">
        <v>1</v>
      </c>
      <c r="DR112">
        <v>4.26</v>
      </c>
      <c r="DS112">
        <v>4.26</v>
      </c>
      <c r="DT112">
        <v>1</v>
      </c>
      <c r="DU112">
        <v>1013</v>
      </c>
      <c r="DV112" t="s">
        <v>276</v>
      </c>
      <c r="DW112" t="s">
        <v>276</v>
      </c>
      <c r="DX112">
        <v>1</v>
      </c>
      <c r="EE112">
        <v>18683554</v>
      </c>
      <c r="EF112">
        <v>0</v>
      </c>
      <c r="EH112">
        <v>0</v>
      </c>
      <c r="EJ112">
        <v>4</v>
      </c>
      <c r="EK112">
        <v>0</v>
      </c>
      <c r="EL112" t="s">
        <v>223</v>
      </c>
      <c r="EM112" t="s">
        <v>224</v>
      </c>
      <c r="EQ112">
        <v>0</v>
      </c>
      <c r="ER112">
        <v>0</v>
      </c>
      <c r="ES112">
        <v>38.96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Q112">
        <v>0</v>
      </c>
      <c r="FR112">
        <f t="shared" si="77"/>
        <v>0</v>
      </c>
      <c r="FS112">
        <v>0</v>
      </c>
      <c r="FX112">
        <v>0</v>
      </c>
      <c r="FY112">
        <v>0</v>
      </c>
      <c r="GA112">
        <v>38.96</v>
      </c>
      <c r="GB112">
        <v>38.96</v>
      </c>
      <c r="GC112">
        <v>0</v>
      </c>
      <c r="GD112">
        <v>0</v>
      </c>
      <c r="GE112">
        <v>0</v>
      </c>
      <c r="GF112">
        <v>38.96</v>
      </c>
      <c r="GG112">
        <v>38.96</v>
      </c>
      <c r="GH112">
        <v>0</v>
      </c>
      <c r="GI112">
        <v>0</v>
      </c>
      <c r="GJ112">
        <v>0</v>
      </c>
      <c r="GK112">
        <v>1</v>
      </c>
      <c r="GL112">
        <v>0</v>
      </c>
    </row>
    <row r="113" spans="1:194" ht="12.75">
      <c r="A113">
        <v>17</v>
      </c>
      <c r="B113">
        <v>1</v>
      </c>
      <c r="E113" t="s">
        <v>277</v>
      </c>
      <c r="F113" t="s">
        <v>220</v>
      </c>
      <c r="G113" t="s">
        <v>278</v>
      </c>
      <c r="H113" t="s">
        <v>279</v>
      </c>
      <c r="I113">
        <v>1</v>
      </c>
      <c r="J113">
        <v>0</v>
      </c>
      <c r="O113">
        <f t="shared" si="46"/>
        <v>684.97</v>
      </c>
      <c r="P113">
        <f t="shared" si="47"/>
        <v>684.97</v>
      </c>
      <c r="Q113">
        <f t="shared" si="48"/>
        <v>0</v>
      </c>
      <c r="R113">
        <f t="shared" si="49"/>
        <v>0</v>
      </c>
      <c r="S113">
        <f t="shared" si="50"/>
        <v>0</v>
      </c>
      <c r="T113">
        <f t="shared" si="51"/>
        <v>0</v>
      </c>
      <c r="U113">
        <f t="shared" si="52"/>
        <v>0</v>
      </c>
      <c r="V113">
        <f t="shared" si="53"/>
        <v>0</v>
      </c>
      <c r="W113">
        <f t="shared" si="54"/>
        <v>0</v>
      </c>
      <c r="X113">
        <f t="shared" si="55"/>
        <v>0</v>
      </c>
      <c r="Y113">
        <f t="shared" si="56"/>
        <v>0</v>
      </c>
      <c r="AA113">
        <v>0</v>
      </c>
      <c r="AB113">
        <f t="shared" si="57"/>
        <v>160.79</v>
      </c>
      <c r="AC113">
        <f t="shared" si="58"/>
        <v>160.79</v>
      </c>
      <c r="AD113">
        <f t="shared" si="59"/>
        <v>0</v>
      </c>
      <c r="AE113">
        <f t="shared" si="60"/>
        <v>0</v>
      </c>
      <c r="AF113">
        <f t="shared" si="61"/>
        <v>0</v>
      </c>
      <c r="AG113">
        <f t="shared" si="62"/>
        <v>0</v>
      </c>
      <c r="AH113">
        <f t="shared" si="63"/>
        <v>0</v>
      </c>
      <c r="AI113">
        <f t="shared" si="64"/>
        <v>0</v>
      </c>
      <c r="AJ113">
        <f t="shared" si="65"/>
        <v>0</v>
      </c>
      <c r="AK113">
        <v>160.79</v>
      </c>
      <c r="AL113">
        <v>160.79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4.26</v>
      </c>
      <c r="AY113">
        <v>1</v>
      </c>
      <c r="AZ113">
        <v>1</v>
      </c>
      <c r="BA113">
        <v>1</v>
      </c>
      <c r="BB113">
        <v>1</v>
      </c>
      <c r="BC113">
        <v>4.26</v>
      </c>
      <c r="BH113">
        <v>3</v>
      </c>
      <c r="BI113">
        <v>2</v>
      </c>
      <c r="BM113">
        <v>0</v>
      </c>
      <c r="BN113">
        <v>0</v>
      </c>
      <c r="BP113">
        <v>0</v>
      </c>
      <c r="BQ113">
        <v>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0</v>
      </c>
      <c r="CA113">
        <v>0</v>
      </c>
      <c r="CF113">
        <v>0</v>
      </c>
      <c r="CG113">
        <v>0</v>
      </c>
      <c r="CM113">
        <v>0</v>
      </c>
      <c r="CO113">
        <v>0</v>
      </c>
      <c r="CP113">
        <f t="shared" si="66"/>
        <v>684.97</v>
      </c>
      <c r="CQ113">
        <f t="shared" si="67"/>
        <v>684.9653999999999</v>
      </c>
      <c r="CR113">
        <f t="shared" si="68"/>
        <v>0</v>
      </c>
      <c r="CS113">
        <f t="shared" si="69"/>
        <v>0</v>
      </c>
      <c r="CT113">
        <f t="shared" si="70"/>
        <v>0</v>
      </c>
      <c r="CU113">
        <f t="shared" si="71"/>
        <v>0</v>
      </c>
      <c r="CV113">
        <f t="shared" si="72"/>
        <v>0</v>
      </c>
      <c r="CW113">
        <f t="shared" si="73"/>
        <v>0</v>
      </c>
      <c r="CX113">
        <f t="shared" si="74"/>
        <v>0</v>
      </c>
      <c r="CY113">
        <f t="shared" si="75"/>
        <v>0</v>
      </c>
      <c r="CZ113">
        <f t="shared" si="76"/>
        <v>0</v>
      </c>
      <c r="DN113">
        <v>0</v>
      </c>
      <c r="DO113">
        <v>0</v>
      </c>
      <c r="DP113">
        <v>1</v>
      </c>
      <c r="DQ113">
        <v>1</v>
      </c>
      <c r="DR113">
        <v>4.26</v>
      </c>
      <c r="DS113">
        <v>4.26</v>
      </c>
      <c r="DT113">
        <v>1</v>
      </c>
      <c r="DU113">
        <v>701992</v>
      </c>
      <c r="DV113" t="s">
        <v>279</v>
      </c>
      <c r="DW113" t="s">
        <v>279</v>
      </c>
      <c r="DX113">
        <v>1</v>
      </c>
      <c r="EE113">
        <v>18683554</v>
      </c>
      <c r="EF113">
        <v>0</v>
      </c>
      <c r="EH113">
        <v>0</v>
      </c>
      <c r="EJ113">
        <v>4</v>
      </c>
      <c r="EK113">
        <v>0</v>
      </c>
      <c r="EL113" t="s">
        <v>223</v>
      </c>
      <c r="EM113" t="s">
        <v>224</v>
      </c>
      <c r="EQ113">
        <v>0</v>
      </c>
      <c r="ER113">
        <v>0</v>
      </c>
      <c r="ES113">
        <v>160.79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Q113">
        <v>0</v>
      </c>
      <c r="FR113">
        <f t="shared" si="77"/>
        <v>0</v>
      </c>
      <c r="FS113">
        <v>0</v>
      </c>
      <c r="FX113">
        <v>0</v>
      </c>
      <c r="FY113">
        <v>0</v>
      </c>
      <c r="GA113">
        <v>160.79</v>
      </c>
      <c r="GB113">
        <v>160.79</v>
      </c>
      <c r="GC113">
        <v>0</v>
      </c>
      <c r="GD113">
        <v>0</v>
      </c>
      <c r="GE113">
        <v>0</v>
      </c>
      <c r="GF113">
        <v>160.79</v>
      </c>
      <c r="GG113">
        <v>160.79</v>
      </c>
      <c r="GH113">
        <v>0</v>
      </c>
      <c r="GI113">
        <v>0</v>
      </c>
      <c r="GJ113">
        <v>0</v>
      </c>
      <c r="GK113">
        <v>1</v>
      </c>
      <c r="GL113">
        <v>0</v>
      </c>
    </row>
    <row r="115" spans="1:43" ht="12.75">
      <c r="A115" s="2">
        <v>51</v>
      </c>
      <c r="B115" s="2">
        <f>B94</f>
        <v>1</v>
      </c>
      <c r="C115" s="2">
        <f>A94</f>
        <v>4</v>
      </c>
      <c r="D115" s="2">
        <f>ROW(A94)</f>
        <v>94</v>
      </c>
      <c r="E115" s="2"/>
      <c r="F115" s="2" t="str">
        <f>IF(F94&lt;&gt;"",F94,"")</f>
        <v>Новый раздел</v>
      </c>
      <c r="G115" s="2" t="str">
        <f>IF(G94&lt;&gt;"",G94,"")</f>
        <v>Материалы , не учтенные сборниками</v>
      </c>
      <c r="H115" s="2"/>
      <c r="I115" s="2"/>
      <c r="J115" s="2"/>
      <c r="K115" s="2"/>
      <c r="L115" s="2"/>
      <c r="M115" s="2"/>
      <c r="N115" s="2"/>
      <c r="O115" s="2">
        <f aca="true" t="shared" si="78" ref="O115:Y115">ROUND(AB115,2)</f>
        <v>92237.19</v>
      </c>
      <c r="P115" s="2">
        <f t="shared" si="78"/>
        <v>92237.19</v>
      </c>
      <c r="Q115" s="2">
        <f t="shared" si="78"/>
        <v>0</v>
      </c>
      <c r="R115" s="2">
        <f t="shared" si="78"/>
        <v>0</v>
      </c>
      <c r="S115" s="2">
        <f t="shared" si="78"/>
        <v>0</v>
      </c>
      <c r="T115" s="2">
        <f t="shared" si="78"/>
        <v>0</v>
      </c>
      <c r="U115" s="2">
        <f t="shared" si="78"/>
        <v>0</v>
      </c>
      <c r="V115" s="2">
        <f t="shared" si="78"/>
        <v>0</v>
      </c>
      <c r="W115" s="2">
        <f t="shared" si="78"/>
        <v>0</v>
      </c>
      <c r="X115" s="2">
        <f t="shared" si="78"/>
        <v>0</v>
      </c>
      <c r="Y115" s="2">
        <f t="shared" si="78"/>
        <v>0</v>
      </c>
      <c r="Z115" s="2"/>
      <c r="AA115" s="2"/>
      <c r="AB115" s="2">
        <f>ROUND(SUMIF(AA98:AA113,"=0",O98:O113),2)</f>
        <v>92237.19</v>
      </c>
      <c r="AC115" s="2">
        <f>ROUND(SUMIF(AA98:AA113,"=0",P98:P113),2)</f>
        <v>92237.19</v>
      </c>
      <c r="AD115" s="2">
        <f>ROUND(SUMIF(AA98:AA113,"=0",Q98:Q113),2)</f>
        <v>0</v>
      </c>
      <c r="AE115" s="2">
        <f>ROUND(SUMIF(AA98:AA113,"=0",R98:R113),2)</f>
        <v>0</v>
      </c>
      <c r="AF115" s="2">
        <f>ROUND(SUMIF(AA98:AA113,"=0",S98:S113),2)</f>
        <v>0</v>
      </c>
      <c r="AG115" s="2">
        <f>ROUND(SUMIF(AA98:AA113,"=0",T98:T113),2)</f>
        <v>0</v>
      </c>
      <c r="AH115" s="2">
        <f>ROUND(SUMIF(AA98:AA113,"=0",U98:U113),2)</f>
        <v>0</v>
      </c>
      <c r="AI115" s="2">
        <f>ROUND(SUMIF(AA98:AA113,"=0",V98:V113),2)</f>
        <v>0</v>
      </c>
      <c r="AJ115" s="2">
        <f>ROUND(SUMIF(AA98:AA113,"=0",W98:W113),2)</f>
        <v>0</v>
      </c>
      <c r="AK115" s="2">
        <f>ROUND(SUMIF(AA98:AA113,"=0",X98:X113),2)</f>
        <v>0</v>
      </c>
      <c r="AL115" s="2">
        <f>ROUND(SUMIF(AA98:AA113,"=0",Y98:Y113),2)</f>
        <v>0</v>
      </c>
      <c r="AM115" s="2"/>
      <c r="AN115" s="2">
        <f>ROUND(AO115,2)</f>
        <v>0</v>
      </c>
      <c r="AO115" s="2">
        <f>ROUND(SUMIF(AA98:AA113,"=0",FQ98:FQ113),2)</f>
        <v>0</v>
      </c>
      <c r="AP115" s="2">
        <f>ROUND(AQ115,2)</f>
        <v>0</v>
      </c>
      <c r="AQ115" s="2">
        <f>ROUND(SUM(FR98:FR113),2)</f>
        <v>0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201</v>
      </c>
      <c r="F117" s="3">
        <f>Source!O115</f>
        <v>92237.19</v>
      </c>
      <c r="G117" s="3" t="s">
        <v>53</v>
      </c>
      <c r="H117" s="3" t="s">
        <v>54</v>
      </c>
      <c r="I117" s="3"/>
      <c r="J117" s="3"/>
      <c r="K117" s="3">
        <v>201</v>
      </c>
      <c r="L117" s="3">
        <v>1</v>
      </c>
      <c r="M117" s="3">
        <v>3</v>
      </c>
      <c r="N117" s="3" t="s">
        <v>6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202</v>
      </c>
      <c r="F118" s="3">
        <f>Source!P115</f>
        <v>92237.19</v>
      </c>
      <c r="G118" s="3" t="s">
        <v>55</v>
      </c>
      <c r="H118" s="3" t="s">
        <v>56</v>
      </c>
      <c r="I118" s="3"/>
      <c r="J118" s="3"/>
      <c r="K118" s="3">
        <v>202</v>
      </c>
      <c r="L118" s="3">
        <v>2</v>
      </c>
      <c r="M118" s="3">
        <v>3</v>
      </c>
      <c r="N118" s="3" t="s">
        <v>6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222</v>
      </c>
      <c r="F119" s="3">
        <f>Source!AN115</f>
        <v>0</v>
      </c>
      <c r="G119" s="3" t="s">
        <v>57</v>
      </c>
      <c r="H119" s="3" t="s">
        <v>58</v>
      </c>
      <c r="I119" s="3"/>
      <c r="J119" s="3"/>
      <c r="K119" s="3">
        <v>222</v>
      </c>
      <c r="L119" s="3">
        <v>3</v>
      </c>
      <c r="M119" s="3">
        <v>3</v>
      </c>
      <c r="N119" s="3" t="s">
        <v>6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216</v>
      </c>
      <c r="F120" s="3">
        <f>Source!AP115</f>
        <v>0</v>
      </c>
      <c r="G120" s="3" t="s">
        <v>59</v>
      </c>
      <c r="H120" s="3" t="s">
        <v>60</v>
      </c>
      <c r="I120" s="3"/>
      <c r="J120" s="3"/>
      <c r="K120" s="3">
        <v>216</v>
      </c>
      <c r="L120" s="3">
        <v>4</v>
      </c>
      <c r="M120" s="3">
        <v>3</v>
      </c>
      <c r="N120" s="3" t="s">
        <v>6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203</v>
      </c>
      <c r="F121" s="3">
        <f>Source!Q115</f>
        <v>0</v>
      </c>
      <c r="G121" s="3" t="s">
        <v>61</v>
      </c>
      <c r="H121" s="3" t="s">
        <v>62</v>
      </c>
      <c r="I121" s="3"/>
      <c r="J121" s="3"/>
      <c r="K121" s="3">
        <v>203</v>
      </c>
      <c r="L121" s="3">
        <v>6</v>
      </c>
      <c r="M121" s="3">
        <v>3</v>
      </c>
      <c r="N121" s="3" t="s">
        <v>6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204</v>
      </c>
      <c r="F122" s="3">
        <f>Source!R115</f>
        <v>0</v>
      </c>
      <c r="G122" s="3" t="s">
        <v>63</v>
      </c>
      <c r="H122" s="3" t="s">
        <v>64</v>
      </c>
      <c r="I122" s="3"/>
      <c r="J122" s="3"/>
      <c r="K122" s="3">
        <v>204</v>
      </c>
      <c r="L122" s="3">
        <v>7</v>
      </c>
      <c r="M122" s="3">
        <v>3</v>
      </c>
      <c r="N122" s="3" t="s">
        <v>6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205</v>
      </c>
      <c r="F123" s="3">
        <f>Source!S115</f>
        <v>0</v>
      </c>
      <c r="G123" s="3" t="s">
        <v>65</v>
      </c>
      <c r="H123" s="3" t="s">
        <v>66</v>
      </c>
      <c r="I123" s="3"/>
      <c r="J123" s="3"/>
      <c r="K123" s="3">
        <v>205</v>
      </c>
      <c r="L123" s="3">
        <v>8</v>
      </c>
      <c r="M123" s="3">
        <v>3</v>
      </c>
      <c r="N123" s="3" t="s">
        <v>6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206</v>
      </c>
      <c r="F124" s="3">
        <f>Source!T115</f>
        <v>0</v>
      </c>
      <c r="G124" s="3" t="s">
        <v>67</v>
      </c>
      <c r="H124" s="3" t="s">
        <v>68</v>
      </c>
      <c r="I124" s="3"/>
      <c r="J124" s="3"/>
      <c r="K124" s="3">
        <v>206</v>
      </c>
      <c r="L124" s="3">
        <v>12</v>
      </c>
      <c r="M124" s="3">
        <v>3</v>
      </c>
      <c r="N124" s="3" t="s">
        <v>6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207</v>
      </c>
      <c r="F125" s="3">
        <f>Source!U115</f>
        <v>0</v>
      </c>
      <c r="G125" s="3" t="s">
        <v>69</v>
      </c>
      <c r="H125" s="3" t="s">
        <v>70</v>
      </c>
      <c r="I125" s="3"/>
      <c r="J125" s="3"/>
      <c r="K125" s="3">
        <v>207</v>
      </c>
      <c r="L125" s="3">
        <v>13</v>
      </c>
      <c r="M125" s="3">
        <v>3</v>
      </c>
      <c r="N125" s="3" t="s">
        <v>6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208</v>
      </c>
      <c r="F126" s="3">
        <f>Source!V115</f>
        <v>0</v>
      </c>
      <c r="G126" s="3" t="s">
        <v>71</v>
      </c>
      <c r="H126" s="3" t="s">
        <v>72</v>
      </c>
      <c r="I126" s="3"/>
      <c r="J126" s="3"/>
      <c r="K126" s="3">
        <v>208</v>
      </c>
      <c r="L126" s="3">
        <v>14</v>
      </c>
      <c r="M126" s="3">
        <v>3</v>
      </c>
      <c r="N126" s="3" t="s">
        <v>6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209</v>
      </c>
      <c r="F127" s="3">
        <f>Source!W115</f>
        <v>0</v>
      </c>
      <c r="G127" s="3" t="s">
        <v>73</v>
      </c>
      <c r="H127" s="3" t="s">
        <v>74</v>
      </c>
      <c r="I127" s="3"/>
      <c r="J127" s="3"/>
      <c r="K127" s="3">
        <v>209</v>
      </c>
      <c r="L127" s="3">
        <v>15</v>
      </c>
      <c r="M127" s="3">
        <v>3</v>
      </c>
      <c r="N127" s="3" t="s">
        <v>6</v>
      </c>
    </row>
    <row r="128" spans="1:14" ht="12.75">
      <c r="A128" s="3">
        <v>50</v>
      </c>
      <c r="B128" s="3">
        <v>0</v>
      </c>
      <c r="C128" s="3">
        <v>0</v>
      </c>
      <c r="D128" s="3">
        <v>1</v>
      </c>
      <c r="E128" s="3">
        <v>210</v>
      </c>
      <c r="F128" s="3">
        <f>Source!X115</f>
        <v>0</v>
      </c>
      <c r="G128" s="3" t="s">
        <v>75</v>
      </c>
      <c r="H128" s="3" t="s">
        <v>76</v>
      </c>
      <c r="I128" s="3"/>
      <c r="J128" s="3"/>
      <c r="K128" s="3">
        <v>210</v>
      </c>
      <c r="L128" s="3">
        <v>16</v>
      </c>
      <c r="M128" s="3">
        <v>3</v>
      </c>
      <c r="N128" s="3" t="s">
        <v>6</v>
      </c>
    </row>
    <row r="129" spans="1:14" ht="12.75">
      <c r="A129" s="3">
        <v>50</v>
      </c>
      <c r="B129" s="3">
        <v>0</v>
      </c>
      <c r="C129" s="3">
        <v>0</v>
      </c>
      <c r="D129" s="3">
        <v>1</v>
      </c>
      <c r="E129" s="3">
        <v>211</v>
      </c>
      <c r="F129" s="3">
        <f>Source!Y115</f>
        <v>0</v>
      </c>
      <c r="G129" s="3" t="s">
        <v>77</v>
      </c>
      <c r="H129" s="3" t="s">
        <v>78</v>
      </c>
      <c r="I129" s="3"/>
      <c r="J129" s="3"/>
      <c r="K129" s="3">
        <v>211</v>
      </c>
      <c r="L129" s="3">
        <v>17</v>
      </c>
      <c r="M129" s="3">
        <v>3</v>
      </c>
      <c r="N129" s="3" t="s">
        <v>6</v>
      </c>
    </row>
    <row r="130" ht="12.75">
      <c r="G130">
        <v>0</v>
      </c>
    </row>
    <row r="131" spans="1:67" ht="12.75">
      <c r="A131" s="1">
        <v>4</v>
      </c>
      <c r="B131" s="1">
        <v>1</v>
      </c>
      <c r="C131" s="1"/>
      <c r="D131" s="1">
        <f>ROW(A139)</f>
        <v>139</v>
      </c>
      <c r="E131" s="1"/>
      <c r="F131" s="1" t="s">
        <v>16</v>
      </c>
      <c r="G131" s="1" t="s">
        <v>280</v>
      </c>
      <c r="H131" s="1"/>
      <c r="I131" s="1"/>
      <c r="J131" s="1"/>
      <c r="K131" s="1"/>
      <c r="L131" s="1"/>
      <c r="M131" s="1"/>
      <c r="N131" s="1" t="s">
        <v>6</v>
      </c>
      <c r="O131" s="1"/>
      <c r="P131" s="1"/>
      <c r="Q131" s="1"/>
      <c r="R131" s="1" t="s">
        <v>6</v>
      </c>
      <c r="S131" s="1" t="s">
        <v>6</v>
      </c>
      <c r="T131" s="1" t="s">
        <v>6</v>
      </c>
      <c r="U131" s="1" t="s">
        <v>6</v>
      </c>
      <c r="V131" s="1"/>
      <c r="W131" s="1"/>
      <c r="X131" s="1">
        <v>0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>
        <v>0</v>
      </c>
      <c r="AM131" s="1"/>
      <c r="AN131" s="1"/>
      <c r="AO131" s="1" t="s">
        <v>6</v>
      </c>
      <c r="AP131" s="1" t="s">
        <v>6</v>
      </c>
      <c r="AQ131" s="1" t="s">
        <v>6</v>
      </c>
      <c r="AR131" s="1"/>
      <c r="AS131" s="1"/>
      <c r="AT131" s="1" t="s">
        <v>6</v>
      </c>
      <c r="AU131" s="1" t="s">
        <v>6</v>
      </c>
      <c r="AV131" s="1" t="s">
        <v>6</v>
      </c>
      <c r="AW131" s="1" t="s">
        <v>6</v>
      </c>
      <c r="AX131" s="1" t="s">
        <v>6</v>
      </c>
      <c r="AY131" s="1" t="s">
        <v>6</v>
      </c>
      <c r="AZ131" s="1" t="s">
        <v>6</v>
      </c>
      <c r="BA131" s="1" t="s">
        <v>6</v>
      </c>
      <c r="BB131" s="1" t="s">
        <v>6</v>
      </c>
      <c r="BC131" s="1" t="s">
        <v>6</v>
      </c>
      <c r="BD131" s="1" t="s">
        <v>6</v>
      </c>
      <c r="BE131" s="1" t="s">
        <v>281</v>
      </c>
      <c r="BF131" s="1">
        <v>0</v>
      </c>
      <c r="BG131" s="1">
        <v>0</v>
      </c>
      <c r="BH131" s="1" t="s">
        <v>6</v>
      </c>
      <c r="BI131" s="1" t="s">
        <v>6</v>
      </c>
      <c r="BJ131" s="1" t="s">
        <v>6</v>
      </c>
      <c r="BK131" s="1" t="s">
        <v>6</v>
      </c>
      <c r="BL131" s="1" t="s">
        <v>6</v>
      </c>
      <c r="BM131" s="1">
        <v>0</v>
      </c>
      <c r="BN131" s="1" t="s">
        <v>6</v>
      </c>
      <c r="BO131" s="1">
        <v>0</v>
      </c>
    </row>
    <row r="133" spans="1:43" ht="12.75">
      <c r="A133" s="2">
        <v>52</v>
      </c>
      <c r="B133" s="2">
        <f aca="true" t="shared" si="79" ref="B133:AQ133">B139</f>
        <v>1</v>
      </c>
      <c r="C133" s="2">
        <f t="shared" si="79"/>
        <v>4</v>
      </c>
      <c r="D133" s="2">
        <f t="shared" si="79"/>
        <v>131</v>
      </c>
      <c r="E133" s="2">
        <f t="shared" si="79"/>
        <v>0</v>
      </c>
      <c r="F133" s="2" t="str">
        <f t="shared" si="79"/>
        <v>Новый раздел</v>
      </c>
      <c r="G133" s="2" t="str">
        <f t="shared" si="79"/>
        <v>Оборудование</v>
      </c>
      <c r="H133" s="2">
        <f t="shared" si="79"/>
        <v>0</v>
      </c>
      <c r="I133" s="2">
        <f t="shared" si="79"/>
        <v>0</v>
      </c>
      <c r="J133" s="2">
        <f t="shared" si="79"/>
        <v>0</v>
      </c>
      <c r="K133" s="2">
        <f t="shared" si="79"/>
        <v>0</v>
      </c>
      <c r="L133" s="2">
        <f t="shared" si="79"/>
        <v>0</v>
      </c>
      <c r="M133" s="2">
        <f t="shared" si="79"/>
        <v>0</v>
      </c>
      <c r="N133" s="2">
        <f t="shared" si="79"/>
        <v>0</v>
      </c>
      <c r="O133" s="2">
        <f t="shared" si="79"/>
        <v>352725.37</v>
      </c>
      <c r="P133" s="2">
        <f t="shared" si="79"/>
        <v>352725.37</v>
      </c>
      <c r="Q133" s="2">
        <f t="shared" si="79"/>
        <v>0</v>
      </c>
      <c r="R133" s="2">
        <f t="shared" si="79"/>
        <v>0</v>
      </c>
      <c r="S133" s="2">
        <f t="shared" si="79"/>
        <v>0</v>
      </c>
      <c r="T133" s="2">
        <f t="shared" si="79"/>
        <v>0</v>
      </c>
      <c r="U133" s="2">
        <f t="shared" si="79"/>
        <v>0</v>
      </c>
      <c r="V133" s="2">
        <f t="shared" si="79"/>
        <v>0</v>
      </c>
      <c r="W133" s="2">
        <f t="shared" si="79"/>
        <v>0</v>
      </c>
      <c r="X133" s="2">
        <f t="shared" si="79"/>
        <v>0</v>
      </c>
      <c r="Y133" s="2">
        <f t="shared" si="79"/>
        <v>0</v>
      </c>
      <c r="Z133" s="2">
        <f t="shared" si="79"/>
        <v>0</v>
      </c>
      <c r="AA133" s="2">
        <f t="shared" si="79"/>
        <v>0</v>
      </c>
      <c r="AB133" s="2">
        <f t="shared" si="79"/>
        <v>352725.37</v>
      </c>
      <c r="AC133" s="2">
        <f t="shared" si="79"/>
        <v>352725.37</v>
      </c>
      <c r="AD133" s="2">
        <f t="shared" si="79"/>
        <v>0</v>
      </c>
      <c r="AE133" s="2">
        <f t="shared" si="79"/>
        <v>0</v>
      </c>
      <c r="AF133" s="2">
        <f t="shared" si="79"/>
        <v>0</v>
      </c>
      <c r="AG133" s="2">
        <f t="shared" si="79"/>
        <v>0</v>
      </c>
      <c r="AH133" s="2">
        <f t="shared" si="79"/>
        <v>0</v>
      </c>
      <c r="AI133" s="2">
        <f t="shared" si="79"/>
        <v>0</v>
      </c>
      <c r="AJ133" s="2">
        <f t="shared" si="79"/>
        <v>0</v>
      </c>
      <c r="AK133" s="2">
        <f t="shared" si="79"/>
        <v>0</v>
      </c>
      <c r="AL133" s="2">
        <f t="shared" si="79"/>
        <v>0</v>
      </c>
      <c r="AM133" s="2">
        <f t="shared" si="79"/>
        <v>0</v>
      </c>
      <c r="AN133" s="2">
        <f t="shared" si="79"/>
        <v>0</v>
      </c>
      <c r="AO133" s="2">
        <f t="shared" si="79"/>
        <v>0</v>
      </c>
      <c r="AP133" s="2">
        <f t="shared" si="79"/>
        <v>352725.37</v>
      </c>
      <c r="AQ133" s="2">
        <f t="shared" si="79"/>
        <v>352725.37</v>
      </c>
    </row>
    <row r="135" spans="1:194" ht="12.75">
      <c r="A135">
        <v>17</v>
      </c>
      <c r="B135">
        <v>1</v>
      </c>
      <c r="E135" t="s">
        <v>282</v>
      </c>
      <c r="F135" t="s">
        <v>220</v>
      </c>
      <c r="G135" t="s">
        <v>283</v>
      </c>
      <c r="H135" t="s">
        <v>222</v>
      </c>
      <c r="I135">
        <v>1</v>
      </c>
      <c r="J135">
        <v>0</v>
      </c>
      <c r="O135">
        <f>ROUND(CP135,2)</f>
        <v>184755.23</v>
      </c>
      <c r="P135">
        <f>ROUND(CQ135*I135,2)</f>
        <v>184755.23</v>
      </c>
      <c r="Q135">
        <f>ROUND(CR135*I135,2)</f>
        <v>0</v>
      </c>
      <c r="R135">
        <f>ROUND(CS135*I135,2)</f>
        <v>0</v>
      </c>
      <c r="S135">
        <f>ROUND(CT135*I135,2)</f>
        <v>0</v>
      </c>
      <c r="T135">
        <f>ROUND(CU135*I135,2)</f>
        <v>0</v>
      </c>
      <c r="U135">
        <f>CV135*I135</f>
        <v>0</v>
      </c>
      <c r="V135">
        <f>CW135*I135</f>
        <v>0</v>
      </c>
      <c r="W135">
        <f>ROUND(CX135*I135,2)</f>
        <v>0</v>
      </c>
      <c r="X135">
        <f aca="true" t="shared" si="80" ref="X135:Y137">ROUND(CY135,2)</f>
        <v>0</v>
      </c>
      <c r="Y135">
        <f t="shared" si="80"/>
        <v>0</v>
      </c>
      <c r="AA135">
        <v>0</v>
      </c>
      <c r="AB135">
        <f>(AC135+AD135+AF135)</f>
        <v>67183.72</v>
      </c>
      <c r="AC135">
        <f>(ES135)</f>
        <v>67183.72</v>
      </c>
      <c r="AD135">
        <f>(((ET135)-(EU135))+AE135)</f>
        <v>0</v>
      </c>
      <c r="AE135">
        <f aca="true" t="shared" si="81" ref="AE135:AF137">(EU135)</f>
        <v>0</v>
      </c>
      <c r="AF135">
        <f t="shared" si="81"/>
        <v>0</v>
      </c>
      <c r="AG135">
        <f>(AP135)</f>
        <v>0</v>
      </c>
      <c r="AH135">
        <f aca="true" t="shared" si="82" ref="AH135:AI137">(EW135)</f>
        <v>0</v>
      </c>
      <c r="AI135">
        <f t="shared" si="82"/>
        <v>0</v>
      </c>
      <c r="AJ135">
        <f>(AS135)</f>
        <v>0</v>
      </c>
      <c r="AK135">
        <v>67183.72</v>
      </c>
      <c r="AL135">
        <v>67183.72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X135">
        <v>2.75</v>
      </c>
      <c r="AY135">
        <v>1</v>
      </c>
      <c r="AZ135">
        <v>1</v>
      </c>
      <c r="BA135">
        <v>1</v>
      </c>
      <c r="BB135">
        <v>1</v>
      </c>
      <c r="BC135">
        <v>2.75</v>
      </c>
      <c r="BH135">
        <v>3</v>
      </c>
      <c r="BI135">
        <v>3</v>
      </c>
      <c r="BM135">
        <v>0</v>
      </c>
      <c r="BN135">
        <v>0</v>
      </c>
      <c r="BP135">
        <v>0</v>
      </c>
      <c r="BQ135">
        <v>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0</v>
      </c>
      <c r="CA135">
        <v>0</v>
      </c>
      <c r="CF135">
        <v>0</v>
      </c>
      <c r="CG135">
        <v>0</v>
      </c>
      <c r="CM135">
        <v>0</v>
      </c>
      <c r="CO135">
        <v>0</v>
      </c>
      <c r="CP135">
        <f>(P135+Q135+S135)</f>
        <v>184755.23</v>
      </c>
      <c r="CQ135">
        <f>((AC135*AW135))*BC135</f>
        <v>184755.23</v>
      </c>
      <c r="CR135">
        <f>((AD135*AV135))*BB135</f>
        <v>0</v>
      </c>
      <c r="CS135">
        <f>((AE135*AV135))*BS135</f>
        <v>0</v>
      </c>
      <c r="CT135">
        <f>((AF135*AV135))*BA135</f>
        <v>0</v>
      </c>
      <c r="CU135">
        <f>(AG135)*BT135</f>
        <v>0</v>
      </c>
      <c r="CV135">
        <f>((AH135*AV135))*BU135</f>
        <v>0</v>
      </c>
      <c r="CW135">
        <f aca="true" t="shared" si="83" ref="CW135:CX137">(AI135)*BV135</f>
        <v>0</v>
      </c>
      <c r="CX135">
        <f t="shared" si="83"/>
        <v>0</v>
      </c>
      <c r="CY135">
        <f>S135*(BZ135/100)</f>
        <v>0</v>
      </c>
      <c r="CZ135">
        <f>S135*(CA135/100)</f>
        <v>0</v>
      </c>
      <c r="DN135">
        <v>0</v>
      </c>
      <c r="DO135">
        <v>0</v>
      </c>
      <c r="DP135">
        <v>1</v>
      </c>
      <c r="DQ135">
        <v>1</v>
      </c>
      <c r="DR135">
        <v>2.75</v>
      </c>
      <c r="DS135">
        <v>2.75</v>
      </c>
      <c r="DT135">
        <v>1</v>
      </c>
      <c r="DU135">
        <v>1013</v>
      </c>
      <c r="DV135" t="s">
        <v>222</v>
      </c>
      <c r="DW135" t="s">
        <v>222</v>
      </c>
      <c r="DX135">
        <v>1</v>
      </c>
      <c r="EE135">
        <v>18683554</v>
      </c>
      <c r="EF135">
        <v>0</v>
      </c>
      <c r="EH135">
        <v>0</v>
      </c>
      <c r="EJ135">
        <v>4</v>
      </c>
      <c r="EK135">
        <v>0</v>
      </c>
      <c r="EL135" t="s">
        <v>223</v>
      </c>
      <c r="EM135" t="s">
        <v>224</v>
      </c>
      <c r="EQ135">
        <v>0</v>
      </c>
      <c r="ER135">
        <v>0</v>
      </c>
      <c r="ES135">
        <v>67183.72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Q135">
        <v>0</v>
      </c>
      <c r="FR135">
        <f>ROUND(IF(AND(AA135=0,BI135=3),P135,0),2)</f>
        <v>184755.23</v>
      </c>
      <c r="FS135">
        <v>0</v>
      </c>
      <c r="FX135">
        <v>0</v>
      </c>
      <c r="FY135">
        <v>0</v>
      </c>
      <c r="GA135">
        <v>67183.72</v>
      </c>
      <c r="GB135">
        <v>67183.72</v>
      </c>
      <c r="GC135">
        <v>0</v>
      </c>
      <c r="GD135">
        <v>0</v>
      </c>
      <c r="GE135">
        <v>0</v>
      </c>
      <c r="GF135">
        <v>67183.72</v>
      </c>
      <c r="GG135">
        <v>67183.72</v>
      </c>
      <c r="GH135">
        <v>0</v>
      </c>
      <c r="GI135">
        <v>0</v>
      </c>
      <c r="GJ135">
        <v>0</v>
      </c>
      <c r="GK135">
        <v>1</v>
      </c>
      <c r="GL135">
        <v>0</v>
      </c>
    </row>
    <row r="136" spans="1:194" ht="12.75">
      <c r="A136">
        <v>17</v>
      </c>
      <c r="B136">
        <v>1</v>
      </c>
      <c r="E136" t="s">
        <v>284</v>
      </c>
      <c r="F136" t="s">
        <v>220</v>
      </c>
      <c r="G136" s="38" t="s">
        <v>285</v>
      </c>
      <c r="H136" t="s">
        <v>222</v>
      </c>
      <c r="I136">
        <v>1</v>
      </c>
      <c r="J136">
        <v>0</v>
      </c>
      <c r="O136">
        <f>ROUND(CP136,2)</f>
        <v>167567.32</v>
      </c>
      <c r="P136">
        <f>ROUND(CQ136*I136,2)</f>
        <v>167567.32</v>
      </c>
      <c r="Q136">
        <f>ROUND(CR136*I136,2)</f>
        <v>0</v>
      </c>
      <c r="R136">
        <f>ROUND(CS136*I136,2)</f>
        <v>0</v>
      </c>
      <c r="S136">
        <f>ROUND(CT136*I136,2)</f>
        <v>0</v>
      </c>
      <c r="T136">
        <f>ROUND(CU136*I136,2)</f>
        <v>0</v>
      </c>
      <c r="U136">
        <f>CV136*I136</f>
        <v>0</v>
      </c>
      <c r="V136">
        <f>CW136*I136</f>
        <v>0</v>
      </c>
      <c r="W136">
        <f>ROUND(CX136*I136,2)</f>
        <v>0</v>
      </c>
      <c r="X136">
        <f t="shared" si="80"/>
        <v>0</v>
      </c>
      <c r="Y136">
        <f t="shared" si="80"/>
        <v>0</v>
      </c>
      <c r="AA136">
        <v>0</v>
      </c>
      <c r="AB136">
        <f>(AC136+AD136+AF136)</f>
        <v>60933.57</v>
      </c>
      <c r="AC136">
        <f>(ES136)</f>
        <v>60933.57</v>
      </c>
      <c r="AD136">
        <f>(((ET136)-(EU136))+AE136)</f>
        <v>0</v>
      </c>
      <c r="AE136">
        <f t="shared" si="81"/>
        <v>0</v>
      </c>
      <c r="AF136">
        <f t="shared" si="81"/>
        <v>0</v>
      </c>
      <c r="AG136">
        <f>(AP136)</f>
        <v>0</v>
      </c>
      <c r="AH136">
        <f t="shared" si="82"/>
        <v>0</v>
      </c>
      <c r="AI136">
        <f t="shared" si="82"/>
        <v>0</v>
      </c>
      <c r="AJ136">
        <f>(AS136)</f>
        <v>0</v>
      </c>
      <c r="AK136">
        <v>60933.57</v>
      </c>
      <c r="AL136">
        <v>60933.57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1</v>
      </c>
      <c r="AX136">
        <v>2.75</v>
      </c>
      <c r="AY136">
        <v>1</v>
      </c>
      <c r="AZ136">
        <v>1</v>
      </c>
      <c r="BA136">
        <v>1</v>
      </c>
      <c r="BB136">
        <v>1</v>
      </c>
      <c r="BC136">
        <v>2.75</v>
      </c>
      <c r="BH136">
        <v>3</v>
      </c>
      <c r="BI136">
        <v>3</v>
      </c>
      <c r="BM136">
        <v>0</v>
      </c>
      <c r="BN136">
        <v>0</v>
      </c>
      <c r="BP136">
        <v>0</v>
      </c>
      <c r="BQ136">
        <v>0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0</v>
      </c>
      <c r="CA136">
        <v>0</v>
      </c>
      <c r="CF136">
        <v>0</v>
      </c>
      <c r="CG136">
        <v>0</v>
      </c>
      <c r="CM136">
        <v>0</v>
      </c>
      <c r="CO136">
        <v>0</v>
      </c>
      <c r="CP136">
        <f>(P136+Q136+S136)</f>
        <v>167567.32</v>
      </c>
      <c r="CQ136">
        <f>((AC136*AW136))*BC136</f>
        <v>167567.3175</v>
      </c>
      <c r="CR136">
        <f>((AD136*AV136))*BB136</f>
        <v>0</v>
      </c>
      <c r="CS136">
        <f>((AE136*AV136))*BS136</f>
        <v>0</v>
      </c>
      <c r="CT136">
        <f>((AF136*AV136))*BA136</f>
        <v>0</v>
      </c>
      <c r="CU136">
        <f>(AG136)*BT136</f>
        <v>0</v>
      </c>
      <c r="CV136">
        <f>((AH136*AV136))*BU136</f>
        <v>0</v>
      </c>
      <c r="CW136">
        <f t="shared" si="83"/>
        <v>0</v>
      </c>
      <c r="CX136">
        <f t="shared" si="83"/>
        <v>0</v>
      </c>
      <c r="CY136">
        <f>S136*(BZ136/100)</f>
        <v>0</v>
      </c>
      <c r="CZ136">
        <f>S136*(CA136/100)</f>
        <v>0</v>
      </c>
      <c r="DN136">
        <v>0</v>
      </c>
      <c r="DO136">
        <v>0</v>
      </c>
      <c r="DP136">
        <v>1</v>
      </c>
      <c r="DQ136">
        <v>1</v>
      </c>
      <c r="DR136">
        <v>2.75</v>
      </c>
      <c r="DS136">
        <v>2.75</v>
      </c>
      <c r="DT136">
        <v>1</v>
      </c>
      <c r="DU136">
        <v>1013</v>
      </c>
      <c r="DV136" t="s">
        <v>222</v>
      </c>
      <c r="DW136" t="s">
        <v>222</v>
      </c>
      <c r="DX136">
        <v>1</v>
      </c>
      <c r="EE136">
        <v>18683554</v>
      </c>
      <c r="EF136">
        <v>0</v>
      </c>
      <c r="EH136">
        <v>0</v>
      </c>
      <c r="EJ136">
        <v>4</v>
      </c>
      <c r="EK136">
        <v>0</v>
      </c>
      <c r="EL136" t="s">
        <v>223</v>
      </c>
      <c r="EM136" t="s">
        <v>224</v>
      </c>
      <c r="EQ136">
        <v>0</v>
      </c>
      <c r="ER136">
        <v>0</v>
      </c>
      <c r="ES136">
        <v>60933.57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Q136">
        <v>0</v>
      </c>
      <c r="FR136">
        <f>ROUND(IF(AND(AA136=0,BI136=3),P136,0),2)</f>
        <v>167567.32</v>
      </c>
      <c r="FS136">
        <v>0</v>
      </c>
      <c r="FX136">
        <v>0</v>
      </c>
      <c r="FY136">
        <v>0</v>
      </c>
      <c r="GA136">
        <v>54509.16</v>
      </c>
      <c r="GB136">
        <v>54509.16</v>
      </c>
      <c r="GC136">
        <v>0</v>
      </c>
      <c r="GD136">
        <v>0</v>
      </c>
      <c r="GE136">
        <v>0</v>
      </c>
      <c r="GF136">
        <v>54509.16</v>
      </c>
      <c r="GG136">
        <v>54509.16</v>
      </c>
      <c r="GH136">
        <v>0</v>
      </c>
      <c r="GI136">
        <v>0</v>
      </c>
      <c r="GJ136">
        <v>0</v>
      </c>
      <c r="GK136">
        <v>1</v>
      </c>
      <c r="GL136">
        <v>0</v>
      </c>
    </row>
    <row r="137" spans="1:194" ht="12.75">
      <c r="A137">
        <v>17</v>
      </c>
      <c r="B137">
        <v>1</v>
      </c>
      <c r="E137" t="s">
        <v>286</v>
      </c>
      <c r="F137" t="s">
        <v>220</v>
      </c>
      <c r="G137" t="s">
        <v>287</v>
      </c>
      <c r="H137" t="s">
        <v>222</v>
      </c>
      <c r="I137">
        <v>1</v>
      </c>
      <c r="J137">
        <v>0</v>
      </c>
      <c r="O137">
        <f>ROUND(CP137,2)</f>
        <v>402.82</v>
      </c>
      <c r="P137">
        <f>ROUND(CQ137*I137,2)</f>
        <v>402.82</v>
      </c>
      <c r="Q137">
        <f>ROUND(CR137*I137,2)</f>
        <v>0</v>
      </c>
      <c r="R137">
        <f>ROUND(CS137*I137,2)</f>
        <v>0</v>
      </c>
      <c r="S137">
        <f>ROUND(CT137*I137,2)</f>
        <v>0</v>
      </c>
      <c r="T137">
        <f>ROUND(CU137*I137,2)</f>
        <v>0</v>
      </c>
      <c r="U137">
        <f>CV137*I137</f>
        <v>0</v>
      </c>
      <c r="V137">
        <f>CW137*I137</f>
        <v>0</v>
      </c>
      <c r="W137">
        <f>ROUND(CX137*I137,2)</f>
        <v>0</v>
      </c>
      <c r="X137">
        <f t="shared" si="80"/>
        <v>0</v>
      </c>
      <c r="Y137">
        <f t="shared" si="80"/>
        <v>0</v>
      </c>
      <c r="AA137">
        <v>0</v>
      </c>
      <c r="AB137">
        <f>(AC137+AD137+AF137)</f>
        <v>146.48</v>
      </c>
      <c r="AC137">
        <f>(ES137)</f>
        <v>146.48</v>
      </c>
      <c r="AD137">
        <f>(((ET137)-(EU137))+AE137)</f>
        <v>0</v>
      </c>
      <c r="AE137">
        <f t="shared" si="81"/>
        <v>0</v>
      </c>
      <c r="AF137">
        <f t="shared" si="81"/>
        <v>0</v>
      </c>
      <c r="AG137">
        <f>(AP137)</f>
        <v>0</v>
      </c>
      <c r="AH137">
        <f t="shared" si="82"/>
        <v>0</v>
      </c>
      <c r="AI137">
        <f t="shared" si="82"/>
        <v>0</v>
      </c>
      <c r="AJ137">
        <f>(AS137)</f>
        <v>0</v>
      </c>
      <c r="AK137">
        <v>146.48</v>
      </c>
      <c r="AL137">
        <v>146.48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X137">
        <v>2.75</v>
      </c>
      <c r="AY137">
        <v>1</v>
      </c>
      <c r="AZ137">
        <v>1</v>
      </c>
      <c r="BA137">
        <v>1</v>
      </c>
      <c r="BB137">
        <v>1</v>
      </c>
      <c r="BC137">
        <v>2.75</v>
      </c>
      <c r="BH137">
        <v>3</v>
      </c>
      <c r="BI137">
        <v>3</v>
      </c>
      <c r="BM137">
        <v>0</v>
      </c>
      <c r="BN137">
        <v>0</v>
      </c>
      <c r="BP137">
        <v>0</v>
      </c>
      <c r="BQ137">
        <v>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0</v>
      </c>
      <c r="CA137">
        <v>0</v>
      </c>
      <c r="CF137">
        <v>0</v>
      </c>
      <c r="CG137">
        <v>0</v>
      </c>
      <c r="CM137">
        <v>0</v>
      </c>
      <c r="CO137">
        <v>0</v>
      </c>
      <c r="CP137">
        <f>(P137+Q137+S137)</f>
        <v>402.82</v>
      </c>
      <c r="CQ137">
        <f>((AC137*AW137))*BC137</f>
        <v>402.82</v>
      </c>
      <c r="CR137">
        <f>((AD137*AV137))*BB137</f>
        <v>0</v>
      </c>
      <c r="CS137">
        <f>((AE137*AV137))*BS137</f>
        <v>0</v>
      </c>
      <c r="CT137">
        <f>((AF137*AV137))*BA137</f>
        <v>0</v>
      </c>
      <c r="CU137">
        <f>(AG137)*BT137</f>
        <v>0</v>
      </c>
      <c r="CV137">
        <f>((AH137*AV137))*BU137</f>
        <v>0</v>
      </c>
      <c r="CW137">
        <f t="shared" si="83"/>
        <v>0</v>
      </c>
      <c r="CX137">
        <f t="shared" si="83"/>
        <v>0</v>
      </c>
      <c r="CY137">
        <f>S137*(BZ137/100)</f>
        <v>0</v>
      </c>
      <c r="CZ137">
        <f>S137*(CA137/100)</f>
        <v>0</v>
      </c>
      <c r="DN137">
        <v>0</v>
      </c>
      <c r="DO137">
        <v>0</v>
      </c>
      <c r="DP137">
        <v>1</v>
      </c>
      <c r="DQ137">
        <v>1</v>
      </c>
      <c r="DR137">
        <v>2.75</v>
      </c>
      <c r="DS137">
        <v>2.75</v>
      </c>
      <c r="DT137">
        <v>1</v>
      </c>
      <c r="DU137">
        <v>1013</v>
      </c>
      <c r="DV137" t="s">
        <v>222</v>
      </c>
      <c r="DW137" t="s">
        <v>222</v>
      </c>
      <c r="DX137">
        <v>1</v>
      </c>
      <c r="EE137">
        <v>18683554</v>
      </c>
      <c r="EF137">
        <v>0</v>
      </c>
      <c r="EH137">
        <v>0</v>
      </c>
      <c r="EJ137">
        <v>4</v>
      </c>
      <c r="EK137">
        <v>0</v>
      </c>
      <c r="EL137" t="s">
        <v>223</v>
      </c>
      <c r="EM137" t="s">
        <v>224</v>
      </c>
      <c r="EQ137">
        <v>0</v>
      </c>
      <c r="ER137">
        <v>0</v>
      </c>
      <c r="ES137">
        <v>146.48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Q137">
        <v>0</v>
      </c>
      <c r="FR137">
        <f>ROUND(IF(AND(AA137=0,BI137=3),P137,0),2)</f>
        <v>402.82</v>
      </c>
      <c r="FS137">
        <v>0</v>
      </c>
      <c r="FX137">
        <v>0</v>
      </c>
      <c r="FY137">
        <v>0</v>
      </c>
      <c r="GA137">
        <v>146.48</v>
      </c>
      <c r="GB137">
        <v>146.48</v>
      </c>
      <c r="GC137">
        <v>0</v>
      </c>
      <c r="GD137">
        <v>0</v>
      </c>
      <c r="GE137">
        <v>0</v>
      </c>
      <c r="GF137">
        <v>146.48</v>
      </c>
      <c r="GG137">
        <v>146.48</v>
      </c>
      <c r="GH137">
        <v>0</v>
      </c>
      <c r="GI137">
        <v>0</v>
      </c>
      <c r="GJ137">
        <v>0</v>
      </c>
      <c r="GK137">
        <v>1</v>
      </c>
      <c r="GL137">
        <v>0</v>
      </c>
    </row>
    <row r="139" spans="1:43" ht="12.75">
      <c r="A139" s="2">
        <v>51</v>
      </c>
      <c r="B139" s="2">
        <f>B131</f>
        <v>1</v>
      </c>
      <c r="C139" s="2">
        <f>A131</f>
        <v>4</v>
      </c>
      <c r="D139" s="2">
        <f>ROW(A131)</f>
        <v>131</v>
      </c>
      <c r="E139" s="2"/>
      <c r="F139" s="2" t="str">
        <f>IF(F131&lt;&gt;"",F131,"")</f>
        <v>Новый раздел</v>
      </c>
      <c r="G139" s="2" t="str">
        <f>IF(G131&lt;&gt;"",G131,"")</f>
        <v>Оборудование</v>
      </c>
      <c r="H139" s="2"/>
      <c r="I139" s="2"/>
      <c r="J139" s="2"/>
      <c r="K139" s="2"/>
      <c r="L139" s="2"/>
      <c r="M139" s="2"/>
      <c r="N139" s="2"/>
      <c r="O139" s="2">
        <f aca="true" t="shared" si="84" ref="O139:Y139">ROUND(AB139,2)</f>
        <v>352725.37</v>
      </c>
      <c r="P139" s="2">
        <f t="shared" si="84"/>
        <v>352725.37</v>
      </c>
      <c r="Q139" s="2">
        <f t="shared" si="84"/>
        <v>0</v>
      </c>
      <c r="R139" s="2">
        <f t="shared" si="84"/>
        <v>0</v>
      </c>
      <c r="S139" s="2">
        <f t="shared" si="84"/>
        <v>0</v>
      </c>
      <c r="T139" s="2">
        <f t="shared" si="84"/>
        <v>0</v>
      </c>
      <c r="U139" s="2">
        <f t="shared" si="84"/>
        <v>0</v>
      </c>
      <c r="V139" s="2">
        <f t="shared" si="84"/>
        <v>0</v>
      </c>
      <c r="W139" s="2">
        <f t="shared" si="84"/>
        <v>0</v>
      </c>
      <c r="X139" s="2">
        <f t="shared" si="84"/>
        <v>0</v>
      </c>
      <c r="Y139" s="2">
        <f t="shared" si="84"/>
        <v>0</v>
      </c>
      <c r="Z139" s="2"/>
      <c r="AA139" s="2"/>
      <c r="AB139" s="2">
        <f>ROUND(SUMIF(AA135:AA137,"=0",O135:O137),2)</f>
        <v>352725.37</v>
      </c>
      <c r="AC139" s="2">
        <f>ROUND(SUMIF(AA135:AA137,"=0",P135:P137),2)</f>
        <v>352725.37</v>
      </c>
      <c r="AD139" s="2">
        <f>ROUND(SUMIF(AA135:AA137,"=0",Q135:Q137),2)</f>
        <v>0</v>
      </c>
      <c r="AE139" s="2">
        <f>ROUND(SUMIF(AA135:AA137,"=0",R135:R137),2)</f>
        <v>0</v>
      </c>
      <c r="AF139" s="2">
        <f>ROUND(SUMIF(AA135:AA137,"=0",S135:S137),2)</f>
        <v>0</v>
      </c>
      <c r="AG139" s="2">
        <f>ROUND(SUMIF(AA135:AA137,"=0",T135:T137),2)</f>
        <v>0</v>
      </c>
      <c r="AH139" s="2">
        <f>ROUND(SUMIF(AA135:AA137,"=0",U135:U137),2)</f>
        <v>0</v>
      </c>
      <c r="AI139" s="2">
        <f>ROUND(SUMIF(AA135:AA137,"=0",V135:V137),2)</f>
        <v>0</v>
      </c>
      <c r="AJ139" s="2">
        <f>ROUND(SUMIF(AA135:AA137,"=0",W135:W137),2)</f>
        <v>0</v>
      </c>
      <c r="AK139" s="2">
        <f>ROUND(SUMIF(AA135:AA137,"=0",X135:X137),2)</f>
        <v>0</v>
      </c>
      <c r="AL139" s="2">
        <f>ROUND(SUMIF(AA135:AA137,"=0",Y135:Y137),2)</f>
        <v>0</v>
      </c>
      <c r="AM139" s="2"/>
      <c r="AN139" s="2">
        <f>ROUND(AO139,2)</f>
        <v>0</v>
      </c>
      <c r="AO139" s="2">
        <f>ROUND(SUMIF(AA135:AA137,"=0",FQ135:FQ137),2)</f>
        <v>0</v>
      </c>
      <c r="AP139" s="2">
        <f>ROUND(AQ139,2)</f>
        <v>352725.37</v>
      </c>
      <c r="AQ139" s="2">
        <f>ROUND(SUM(FR135:FR137),2)</f>
        <v>352725.37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201</v>
      </c>
      <c r="F141" s="3">
        <f>Source!O139</f>
        <v>352725.37</v>
      </c>
      <c r="G141" s="3" t="s">
        <v>53</v>
      </c>
      <c r="H141" s="3" t="s">
        <v>54</v>
      </c>
      <c r="I141" s="3"/>
      <c r="J141" s="3"/>
      <c r="K141" s="3">
        <v>201</v>
      </c>
      <c r="L141" s="3">
        <v>1</v>
      </c>
      <c r="M141" s="3">
        <v>3</v>
      </c>
      <c r="N141" s="3" t="s">
        <v>6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202</v>
      </c>
      <c r="F142" s="3">
        <f>Source!P139</f>
        <v>352725.37</v>
      </c>
      <c r="G142" s="3" t="s">
        <v>55</v>
      </c>
      <c r="H142" s="3" t="s">
        <v>56</v>
      </c>
      <c r="I142" s="3"/>
      <c r="J142" s="3"/>
      <c r="K142" s="3">
        <v>202</v>
      </c>
      <c r="L142" s="3">
        <v>2</v>
      </c>
      <c r="M142" s="3">
        <v>3</v>
      </c>
      <c r="N142" s="3" t="s">
        <v>6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222</v>
      </c>
      <c r="F143" s="3">
        <f>Source!AN139</f>
        <v>0</v>
      </c>
      <c r="G143" s="3" t="s">
        <v>57</v>
      </c>
      <c r="H143" s="3" t="s">
        <v>58</v>
      </c>
      <c r="I143" s="3"/>
      <c r="J143" s="3"/>
      <c r="K143" s="3">
        <v>222</v>
      </c>
      <c r="L143" s="3">
        <v>3</v>
      </c>
      <c r="M143" s="3">
        <v>3</v>
      </c>
      <c r="N143" s="3" t="s">
        <v>6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216</v>
      </c>
      <c r="F144" s="3">
        <f>Source!AP139</f>
        <v>352725.37</v>
      </c>
      <c r="G144" s="3" t="s">
        <v>59</v>
      </c>
      <c r="H144" s="3" t="s">
        <v>60</v>
      </c>
      <c r="I144" s="3"/>
      <c r="J144" s="3"/>
      <c r="K144" s="3">
        <v>216</v>
      </c>
      <c r="L144" s="3">
        <v>4</v>
      </c>
      <c r="M144" s="3">
        <v>3</v>
      </c>
      <c r="N144" s="3" t="s">
        <v>6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203</v>
      </c>
      <c r="F145" s="3">
        <f>Source!Q139</f>
        <v>0</v>
      </c>
      <c r="G145" s="3" t="s">
        <v>61</v>
      </c>
      <c r="H145" s="3" t="s">
        <v>62</v>
      </c>
      <c r="I145" s="3"/>
      <c r="J145" s="3"/>
      <c r="K145" s="3">
        <v>203</v>
      </c>
      <c r="L145" s="3">
        <v>6</v>
      </c>
      <c r="M145" s="3">
        <v>3</v>
      </c>
      <c r="N145" s="3" t="s">
        <v>6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204</v>
      </c>
      <c r="F146" s="3">
        <f>Source!R139</f>
        <v>0</v>
      </c>
      <c r="G146" s="3" t="s">
        <v>63</v>
      </c>
      <c r="H146" s="3" t="s">
        <v>64</v>
      </c>
      <c r="I146" s="3"/>
      <c r="J146" s="3"/>
      <c r="K146" s="3">
        <v>204</v>
      </c>
      <c r="L146" s="3">
        <v>7</v>
      </c>
      <c r="M146" s="3">
        <v>3</v>
      </c>
      <c r="N146" s="3" t="s">
        <v>6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205</v>
      </c>
      <c r="F147" s="3">
        <f>Source!S139</f>
        <v>0</v>
      </c>
      <c r="G147" s="3" t="s">
        <v>65</v>
      </c>
      <c r="H147" s="3" t="s">
        <v>66</v>
      </c>
      <c r="I147" s="3"/>
      <c r="J147" s="3"/>
      <c r="K147" s="3">
        <v>205</v>
      </c>
      <c r="L147" s="3">
        <v>8</v>
      </c>
      <c r="M147" s="3">
        <v>3</v>
      </c>
      <c r="N147" s="3" t="s">
        <v>6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206</v>
      </c>
      <c r="F148" s="3">
        <f>Source!T139</f>
        <v>0</v>
      </c>
      <c r="G148" s="3" t="s">
        <v>67</v>
      </c>
      <c r="H148" s="3" t="s">
        <v>68</v>
      </c>
      <c r="I148" s="3"/>
      <c r="J148" s="3"/>
      <c r="K148" s="3">
        <v>206</v>
      </c>
      <c r="L148" s="3">
        <v>12</v>
      </c>
      <c r="M148" s="3">
        <v>3</v>
      </c>
      <c r="N148" s="3" t="s">
        <v>6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207</v>
      </c>
      <c r="F149" s="3">
        <f>Source!U139</f>
        <v>0</v>
      </c>
      <c r="G149" s="3" t="s">
        <v>69</v>
      </c>
      <c r="H149" s="3" t="s">
        <v>70</v>
      </c>
      <c r="I149" s="3"/>
      <c r="J149" s="3"/>
      <c r="K149" s="3">
        <v>207</v>
      </c>
      <c r="L149" s="3">
        <v>13</v>
      </c>
      <c r="M149" s="3">
        <v>3</v>
      </c>
      <c r="N149" s="3" t="s">
        <v>6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208</v>
      </c>
      <c r="F150" s="3">
        <f>Source!V139</f>
        <v>0</v>
      </c>
      <c r="G150" s="3" t="s">
        <v>71</v>
      </c>
      <c r="H150" s="3" t="s">
        <v>72</v>
      </c>
      <c r="I150" s="3"/>
      <c r="J150" s="3"/>
      <c r="K150" s="3">
        <v>208</v>
      </c>
      <c r="L150" s="3">
        <v>14</v>
      </c>
      <c r="M150" s="3">
        <v>3</v>
      </c>
      <c r="N150" s="3" t="s">
        <v>6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209</v>
      </c>
      <c r="F151" s="3">
        <f>Source!W139</f>
        <v>0</v>
      </c>
      <c r="G151" s="3" t="s">
        <v>73</v>
      </c>
      <c r="H151" s="3" t="s">
        <v>74</v>
      </c>
      <c r="I151" s="3"/>
      <c r="J151" s="3"/>
      <c r="K151" s="3">
        <v>209</v>
      </c>
      <c r="L151" s="3">
        <v>15</v>
      </c>
      <c r="M151" s="3">
        <v>3</v>
      </c>
      <c r="N151" s="3" t="s">
        <v>6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210</v>
      </c>
      <c r="F152" s="3">
        <f>Source!X139</f>
        <v>0</v>
      </c>
      <c r="G152" s="3" t="s">
        <v>75</v>
      </c>
      <c r="H152" s="3" t="s">
        <v>76</v>
      </c>
      <c r="I152" s="3"/>
      <c r="J152" s="3"/>
      <c r="K152" s="3">
        <v>210</v>
      </c>
      <c r="L152" s="3">
        <v>16</v>
      </c>
      <c r="M152" s="3">
        <v>3</v>
      </c>
      <c r="N152" s="3" t="s">
        <v>6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211</v>
      </c>
      <c r="F153" s="3">
        <f>Source!Y139</f>
        <v>0</v>
      </c>
      <c r="G153" s="3" t="s">
        <v>77</v>
      </c>
      <c r="H153" s="3" t="s">
        <v>78</v>
      </c>
      <c r="I153" s="3"/>
      <c r="J153" s="3"/>
      <c r="K153" s="3">
        <v>211</v>
      </c>
      <c r="L153" s="3">
        <v>17</v>
      </c>
      <c r="M153" s="3">
        <v>3</v>
      </c>
      <c r="N153" s="3" t="s">
        <v>6</v>
      </c>
    </row>
    <row r="154" ht="12.75">
      <c r="G154">
        <v>0</v>
      </c>
    </row>
    <row r="155" spans="1:67" ht="12.75">
      <c r="A155" s="1">
        <v>4</v>
      </c>
      <c r="B155" s="1">
        <v>1</v>
      </c>
      <c r="C155" s="1"/>
      <c r="D155" s="1">
        <f>ROW(A193)</f>
        <v>193</v>
      </c>
      <c r="E155" s="1"/>
      <c r="F155" s="1" t="s">
        <v>16</v>
      </c>
      <c r="G155" s="1" t="s">
        <v>44</v>
      </c>
      <c r="H155" s="1"/>
      <c r="I155" s="1"/>
      <c r="J155" s="1"/>
      <c r="K155" s="1"/>
      <c r="L155" s="1"/>
      <c r="M155" s="1"/>
      <c r="N155" s="1" t="s">
        <v>6</v>
      </c>
      <c r="O155" s="1"/>
      <c r="P155" s="1"/>
      <c r="Q155" s="1"/>
      <c r="R155" s="1" t="s">
        <v>6</v>
      </c>
      <c r="S155" s="1" t="s">
        <v>6</v>
      </c>
      <c r="T155" s="1" t="s">
        <v>6</v>
      </c>
      <c r="U155" s="1" t="s">
        <v>6</v>
      </c>
      <c r="V155" s="1"/>
      <c r="W155" s="1"/>
      <c r="X155" s="1">
        <v>0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>
        <v>0</v>
      </c>
      <c r="AM155" s="1"/>
      <c r="AN155" s="1"/>
      <c r="AO155" s="1" t="s">
        <v>6</v>
      </c>
      <c r="AP155" s="1" t="s">
        <v>6</v>
      </c>
      <c r="AQ155" s="1" t="s">
        <v>6</v>
      </c>
      <c r="AR155" s="1"/>
      <c r="AS155" s="1"/>
      <c r="AT155" s="1" t="s">
        <v>6</v>
      </c>
      <c r="AU155" s="1" t="s">
        <v>6</v>
      </c>
      <c r="AV155" s="1" t="s">
        <v>6</v>
      </c>
      <c r="AW155" s="1" t="s">
        <v>6</v>
      </c>
      <c r="AX155" s="1" t="s">
        <v>6</v>
      </c>
      <c r="AY155" s="1" t="s">
        <v>6</v>
      </c>
      <c r="AZ155" s="1" t="s">
        <v>6</v>
      </c>
      <c r="BA155" s="1" t="s">
        <v>6</v>
      </c>
      <c r="BB155" s="1" t="s">
        <v>6</v>
      </c>
      <c r="BC155" s="1" t="s">
        <v>6</v>
      </c>
      <c r="BD155" s="1" t="s">
        <v>6</v>
      </c>
      <c r="BE155" s="1" t="s">
        <v>288</v>
      </c>
      <c r="BF155" s="1">
        <v>0</v>
      </c>
      <c r="BG155" s="1">
        <v>0</v>
      </c>
      <c r="BH155" s="1" t="s">
        <v>6</v>
      </c>
      <c r="BI155" s="1" t="s">
        <v>6</v>
      </c>
      <c r="BJ155" s="1" t="s">
        <v>6</v>
      </c>
      <c r="BK155" s="1" t="s">
        <v>6</v>
      </c>
      <c r="BL155" s="1" t="s">
        <v>6</v>
      </c>
      <c r="BM155" s="1">
        <v>0</v>
      </c>
      <c r="BN155" s="1" t="s">
        <v>6</v>
      </c>
      <c r="BO155" s="1">
        <v>0</v>
      </c>
    </row>
    <row r="157" spans="1:43" ht="12.75">
      <c r="A157" s="2">
        <v>52</v>
      </c>
      <c r="B157" s="2">
        <f aca="true" t="shared" si="85" ref="B157:AQ157">B193</f>
        <v>1</v>
      </c>
      <c r="C157" s="2">
        <f t="shared" si="85"/>
        <v>4</v>
      </c>
      <c r="D157" s="2">
        <f t="shared" si="85"/>
        <v>155</v>
      </c>
      <c r="E157" s="2">
        <f t="shared" si="85"/>
        <v>0</v>
      </c>
      <c r="F157" s="2" t="str">
        <f t="shared" si="85"/>
        <v>Новый раздел</v>
      </c>
      <c r="G157" s="2" t="str">
        <f t="shared" si="85"/>
        <v>Строительные работы</v>
      </c>
      <c r="H157" s="2">
        <f t="shared" si="85"/>
        <v>0</v>
      </c>
      <c r="I157" s="2">
        <f t="shared" si="85"/>
        <v>0</v>
      </c>
      <c r="J157" s="2">
        <f t="shared" si="85"/>
        <v>0</v>
      </c>
      <c r="K157" s="2">
        <f t="shared" si="85"/>
        <v>0</v>
      </c>
      <c r="L157" s="2">
        <f t="shared" si="85"/>
        <v>0</v>
      </c>
      <c r="M157" s="2">
        <f t="shared" si="85"/>
        <v>0</v>
      </c>
      <c r="N157" s="2">
        <f t="shared" si="85"/>
        <v>0</v>
      </c>
      <c r="O157" s="2">
        <f t="shared" si="85"/>
        <v>16154.92</v>
      </c>
      <c r="P157" s="2">
        <f t="shared" si="85"/>
        <v>8003.25</v>
      </c>
      <c r="Q157" s="2">
        <f t="shared" si="85"/>
        <v>4459.27</v>
      </c>
      <c r="R157" s="2">
        <f t="shared" si="85"/>
        <v>947.07</v>
      </c>
      <c r="S157" s="2">
        <f t="shared" si="85"/>
        <v>3692.4</v>
      </c>
      <c r="T157" s="2">
        <f t="shared" si="85"/>
        <v>0</v>
      </c>
      <c r="U157" s="2">
        <f t="shared" si="85"/>
        <v>25.55</v>
      </c>
      <c r="V157" s="2">
        <f t="shared" si="85"/>
        <v>0</v>
      </c>
      <c r="W157" s="2">
        <f t="shared" si="85"/>
        <v>0</v>
      </c>
      <c r="X157" s="2">
        <f t="shared" si="85"/>
        <v>3458.69</v>
      </c>
      <c r="Y157" s="2">
        <f t="shared" si="85"/>
        <v>1616.29</v>
      </c>
      <c r="Z157" s="2">
        <f t="shared" si="85"/>
        <v>0</v>
      </c>
      <c r="AA157" s="2">
        <f t="shared" si="85"/>
        <v>0</v>
      </c>
      <c r="AB157" s="2">
        <f t="shared" si="85"/>
        <v>16154.92</v>
      </c>
      <c r="AC157" s="2">
        <f t="shared" si="85"/>
        <v>8003.25</v>
      </c>
      <c r="AD157" s="2">
        <f t="shared" si="85"/>
        <v>4459.27</v>
      </c>
      <c r="AE157" s="2">
        <f t="shared" si="85"/>
        <v>947.07</v>
      </c>
      <c r="AF157" s="2">
        <f t="shared" si="85"/>
        <v>3692.4</v>
      </c>
      <c r="AG157" s="2">
        <f t="shared" si="85"/>
        <v>0</v>
      </c>
      <c r="AH157" s="2">
        <f t="shared" si="85"/>
        <v>25.55</v>
      </c>
      <c r="AI157" s="2">
        <f t="shared" si="85"/>
        <v>0</v>
      </c>
      <c r="AJ157" s="2">
        <f t="shared" si="85"/>
        <v>0</v>
      </c>
      <c r="AK157" s="2">
        <f t="shared" si="85"/>
        <v>3458.69</v>
      </c>
      <c r="AL157" s="2">
        <f t="shared" si="85"/>
        <v>1616.29</v>
      </c>
      <c r="AM157" s="2">
        <f t="shared" si="85"/>
        <v>0</v>
      </c>
      <c r="AN157" s="2">
        <f t="shared" si="85"/>
        <v>0</v>
      </c>
      <c r="AO157" s="2">
        <f t="shared" si="85"/>
        <v>0</v>
      </c>
      <c r="AP157" s="2">
        <f t="shared" si="85"/>
        <v>0</v>
      </c>
      <c r="AQ157" s="2">
        <f t="shared" si="85"/>
        <v>0</v>
      </c>
    </row>
    <row r="159" spans="1:194" ht="12.75">
      <c r="A159">
        <v>17</v>
      </c>
      <c r="B159">
        <v>1</v>
      </c>
      <c r="C159">
        <f>ROW(SmtRes!A16)</f>
        <v>16</v>
      </c>
      <c r="D159">
        <f>ROW(EtalonRes!A17)</f>
        <v>17</v>
      </c>
      <c r="E159" t="s">
        <v>289</v>
      </c>
      <c r="F159" t="s">
        <v>290</v>
      </c>
      <c r="G159" t="s">
        <v>291</v>
      </c>
      <c r="H159" t="s">
        <v>84</v>
      </c>
      <c r="I159">
        <v>0.048</v>
      </c>
      <c r="J159">
        <v>0</v>
      </c>
      <c r="O159">
        <f aca="true" t="shared" si="86" ref="O159:O191">ROUND(CP159,2)</f>
        <v>900.45</v>
      </c>
      <c r="P159">
        <f aca="true" t="shared" si="87" ref="P159:P191">ROUND(CQ159*I159,2)</f>
        <v>0</v>
      </c>
      <c r="Q159">
        <f aca="true" t="shared" si="88" ref="Q159:Q191">ROUND(CR159*I159,2)</f>
        <v>660.85</v>
      </c>
      <c r="R159">
        <f aca="true" t="shared" si="89" ref="R159:R191">ROUND(CS159*I159,2)</f>
        <v>250.43</v>
      </c>
      <c r="S159">
        <f aca="true" t="shared" si="90" ref="S159:S191">ROUND(CT159*I159,2)</f>
        <v>239.6</v>
      </c>
      <c r="T159">
        <f aca="true" t="shared" si="91" ref="T159:T191">ROUND(CU159*I159,2)</f>
        <v>0</v>
      </c>
      <c r="U159">
        <f aca="true" t="shared" si="92" ref="U159:U191">CV159*I159</f>
        <v>1.3292711999999998</v>
      </c>
      <c r="V159">
        <f aca="true" t="shared" si="93" ref="V159:V191">CW159*I159</f>
        <v>0</v>
      </c>
      <c r="W159">
        <f aca="true" t="shared" si="94" ref="W159:W191">ROUND(CX159*I159,2)</f>
        <v>0</v>
      </c>
      <c r="X159">
        <f aca="true" t="shared" si="95" ref="X159:X191">ROUND(CY159,2)</f>
        <v>335.44</v>
      </c>
      <c r="Y159">
        <f aca="true" t="shared" si="96" ref="Y159:Y191">ROUND(CZ159,2)</f>
        <v>136.57</v>
      </c>
      <c r="AA159">
        <v>0</v>
      </c>
      <c r="AB159">
        <f aca="true" t="shared" si="97" ref="AB159:AB191">(AC159+AD159+AF159)</f>
        <v>2755.078</v>
      </c>
      <c r="AC159">
        <f>(ES159)</f>
        <v>0</v>
      </c>
      <c r="AD159">
        <f>((((ET159*1.15))-((EU159*1.15)))+AE159)</f>
        <v>2390.8615</v>
      </c>
      <c r="AE159">
        <f>((EU159*1.15))</f>
        <v>380.67299999999994</v>
      </c>
      <c r="AF159">
        <f>((EV159*1.15))</f>
        <v>364.21649999999994</v>
      </c>
      <c r="AG159">
        <f>(AP159)</f>
        <v>0</v>
      </c>
      <c r="AH159">
        <f>((EW159*1.15))</f>
        <v>26.45</v>
      </c>
      <c r="AI159">
        <f>((EX159*1.15))</f>
        <v>0</v>
      </c>
      <c r="AJ159">
        <f>(AS159)</f>
        <v>0</v>
      </c>
      <c r="AK159">
        <v>2395.72</v>
      </c>
      <c r="AL159">
        <v>0</v>
      </c>
      <c r="AM159">
        <v>2079.01</v>
      </c>
      <c r="AN159">
        <v>331.02</v>
      </c>
      <c r="AO159">
        <v>316.71</v>
      </c>
      <c r="AP159">
        <v>0</v>
      </c>
      <c r="AQ159">
        <v>23</v>
      </c>
      <c r="AR159">
        <v>0</v>
      </c>
      <c r="AS159">
        <v>0</v>
      </c>
      <c r="AT159">
        <v>140</v>
      </c>
      <c r="AU159">
        <v>57</v>
      </c>
      <c r="AV159">
        <v>1.047</v>
      </c>
      <c r="AW159">
        <v>1.03</v>
      </c>
      <c r="AX159">
        <v>1</v>
      </c>
      <c r="AY159">
        <v>13.09</v>
      </c>
      <c r="AZ159">
        <v>13.09</v>
      </c>
      <c r="BA159">
        <v>13.09</v>
      </c>
      <c r="BB159">
        <v>5.5</v>
      </c>
      <c r="BC159">
        <v>1</v>
      </c>
      <c r="BH159">
        <v>0</v>
      </c>
      <c r="BI159">
        <v>1</v>
      </c>
      <c r="BJ159" t="s">
        <v>292</v>
      </c>
      <c r="BM159">
        <v>153</v>
      </c>
      <c r="BN159">
        <v>0</v>
      </c>
      <c r="BO159" t="s">
        <v>290</v>
      </c>
      <c r="BP159">
        <v>1</v>
      </c>
      <c r="BQ159">
        <v>30</v>
      </c>
      <c r="BR159">
        <v>0</v>
      </c>
      <c r="BS159">
        <v>13.09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140</v>
      </c>
      <c r="CA159">
        <v>57</v>
      </c>
      <c r="CF159">
        <v>0</v>
      </c>
      <c r="CG159">
        <v>0</v>
      </c>
      <c r="CM159">
        <v>0</v>
      </c>
      <c r="CN159" t="s">
        <v>293</v>
      </c>
      <c r="CO159">
        <v>0</v>
      </c>
      <c r="CP159">
        <f aca="true" t="shared" si="98" ref="CP159:CP191">(P159+Q159+S159)</f>
        <v>900.45</v>
      </c>
      <c r="CQ159">
        <f aca="true" t="shared" si="99" ref="CQ159:CQ191">((AC159*AW159))*BC159</f>
        <v>0</v>
      </c>
      <c r="CR159">
        <f aca="true" t="shared" si="100" ref="CR159:CR191">((AD159*AV159))*BB159</f>
        <v>13767.77594775</v>
      </c>
      <c r="CS159">
        <f aca="true" t="shared" si="101" ref="CS159:CS191">((AE159*AV159))*BS159</f>
        <v>5217.211019789998</v>
      </c>
      <c r="CT159">
        <f aca="true" t="shared" si="102" ref="CT159:CT191">((AF159*AV159))*BA159</f>
        <v>4991.670902294998</v>
      </c>
      <c r="CU159">
        <f aca="true" t="shared" si="103" ref="CU159:CU191">(AG159)*BT159</f>
        <v>0</v>
      </c>
      <c r="CV159">
        <f aca="true" t="shared" si="104" ref="CV159:CV191">((AH159*AV159))*BU159</f>
        <v>27.693149999999996</v>
      </c>
      <c r="CW159">
        <f aca="true" t="shared" si="105" ref="CW159:CW191">(AI159)*BV159</f>
        <v>0</v>
      </c>
      <c r="CX159">
        <f aca="true" t="shared" si="106" ref="CX159:CX191">(AJ159)*BW159</f>
        <v>0</v>
      </c>
      <c r="CY159">
        <f aca="true" t="shared" si="107" ref="CY159:CY191">S159*(BZ159/100)</f>
        <v>335.44</v>
      </c>
      <c r="CZ159">
        <f aca="true" t="shared" si="108" ref="CZ159:CZ191">S159*(CA159/100)</f>
        <v>136.57199999999997</v>
      </c>
      <c r="DE159" t="s">
        <v>294</v>
      </c>
      <c r="DF159" t="s">
        <v>294</v>
      </c>
      <c r="DG159" t="s">
        <v>294</v>
      </c>
      <c r="DI159" t="s">
        <v>294</v>
      </c>
      <c r="DJ159" t="s">
        <v>294</v>
      </c>
      <c r="DN159">
        <v>161</v>
      </c>
      <c r="DO159">
        <v>107</v>
      </c>
      <c r="DP159">
        <v>1.047</v>
      </c>
      <c r="DQ159">
        <v>1.03</v>
      </c>
      <c r="DR159">
        <v>1</v>
      </c>
      <c r="DS159">
        <v>1</v>
      </c>
      <c r="DT159">
        <v>13.09</v>
      </c>
      <c r="DU159">
        <v>1003</v>
      </c>
      <c r="DV159" t="s">
        <v>84</v>
      </c>
      <c r="DW159" t="s">
        <v>84</v>
      </c>
      <c r="DX159">
        <v>100</v>
      </c>
      <c r="EE159">
        <v>18683707</v>
      </c>
      <c r="EF159">
        <v>30</v>
      </c>
      <c r="EG159" t="s">
        <v>44</v>
      </c>
      <c r="EH159">
        <v>0</v>
      </c>
      <c r="EJ159">
        <v>1</v>
      </c>
      <c r="EK159">
        <v>153</v>
      </c>
      <c r="EL159" t="s">
        <v>295</v>
      </c>
      <c r="EM159" t="s">
        <v>296</v>
      </c>
      <c r="EO159" t="s">
        <v>297</v>
      </c>
      <c r="EQ159">
        <v>64</v>
      </c>
      <c r="ER159">
        <v>2395.72</v>
      </c>
      <c r="ES159">
        <v>0</v>
      </c>
      <c r="ET159">
        <v>2079.01</v>
      </c>
      <c r="EU159">
        <v>331.02</v>
      </c>
      <c r="EV159">
        <v>316.71</v>
      </c>
      <c r="EW159">
        <v>23</v>
      </c>
      <c r="EX159">
        <v>0</v>
      </c>
      <c r="EY159">
        <v>0</v>
      </c>
      <c r="EZ159">
        <v>0</v>
      </c>
      <c r="FQ159">
        <v>0</v>
      </c>
      <c r="FR159">
        <f aca="true" t="shared" si="109" ref="FR159:FR191">ROUND(IF(AND(AA159=0,BI159=3),P159,0),2)</f>
        <v>0</v>
      </c>
      <c r="FS159">
        <v>0</v>
      </c>
      <c r="FX159">
        <v>140</v>
      </c>
      <c r="FY159">
        <v>57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</row>
    <row r="160" spans="1:194" ht="12.75">
      <c r="A160">
        <v>18</v>
      </c>
      <c r="B160">
        <v>1</v>
      </c>
      <c r="C160">
        <v>16</v>
      </c>
      <c r="E160" t="s">
        <v>298</v>
      </c>
      <c r="F160" t="s">
        <v>299</v>
      </c>
      <c r="G160" t="s">
        <v>300</v>
      </c>
      <c r="H160" t="s">
        <v>22</v>
      </c>
      <c r="I160">
        <f>I159*J160</f>
        <v>0.044328</v>
      </c>
      <c r="J160">
        <v>0.9235</v>
      </c>
      <c r="O160">
        <f t="shared" si="86"/>
        <v>224.88</v>
      </c>
      <c r="P160">
        <f t="shared" si="87"/>
        <v>224.88</v>
      </c>
      <c r="Q160">
        <f t="shared" si="88"/>
        <v>0</v>
      </c>
      <c r="R160">
        <f t="shared" si="89"/>
        <v>0</v>
      </c>
      <c r="S160">
        <f t="shared" si="90"/>
        <v>0</v>
      </c>
      <c r="T160">
        <f t="shared" si="91"/>
        <v>0</v>
      </c>
      <c r="U160">
        <f t="shared" si="92"/>
        <v>0</v>
      </c>
      <c r="V160">
        <f t="shared" si="93"/>
        <v>0</v>
      </c>
      <c r="W160">
        <f t="shared" si="94"/>
        <v>0</v>
      </c>
      <c r="X160">
        <f t="shared" si="95"/>
        <v>0</v>
      </c>
      <c r="Y160">
        <f t="shared" si="96"/>
        <v>0</v>
      </c>
      <c r="AA160">
        <v>0</v>
      </c>
      <c r="AB160">
        <f t="shared" si="97"/>
        <v>2280.28</v>
      </c>
      <c r="AC160">
        <f>AL160</f>
        <v>2280.28</v>
      </c>
      <c r="AD160">
        <f>((AM160-AN160)+AE160)</f>
        <v>0</v>
      </c>
      <c r="AE160">
        <f aca="true" t="shared" si="110" ref="AE160:AJ160">AN160</f>
        <v>0</v>
      </c>
      <c r="AF160">
        <f t="shared" si="110"/>
        <v>0</v>
      </c>
      <c r="AG160">
        <f t="shared" si="110"/>
        <v>0</v>
      </c>
      <c r="AH160">
        <f t="shared" si="110"/>
        <v>0</v>
      </c>
      <c r="AI160">
        <f t="shared" si="110"/>
        <v>0</v>
      </c>
      <c r="AJ160">
        <f t="shared" si="110"/>
        <v>0</v>
      </c>
      <c r="AK160">
        <v>2280.28</v>
      </c>
      <c r="AL160">
        <v>2280.28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1.03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2.16</v>
      </c>
      <c r="BH160">
        <v>3</v>
      </c>
      <c r="BI160">
        <v>1</v>
      </c>
      <c r="BJ160" t="s">
        <v>301</v>
      </c>
      <c r="BM160">
        <v>153</v>
      </c>
      <c r="BN160">
        <v>0</v>
      </c>
      <c r="BO160" t="s">
        <v>299</v>
      </c>
      <c r="BP160">
        <v>1</v>
      </c>
      <c r="BQ160">
        <v>30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0</v>
      </c>
      <c r="CA160">
        <v>0</v>
      </c>
      <c r="CF160">
        <v>0</v>
      </c>
      <c r="CG160">
        <v>0</v>
      </c>
      <c r="CM160">
        <v>0</v>
      </c>
      <c r="CO160">
        <v>0</v>
      </c>
      <c r="CP160">
        <f t="shared" si="98"/>
        <v>224.88</v>
      </c>
      <c r="CQ160">
        <f t="shared" si="99"/>
        <v>5073.166944000001</v>
      </c>
      <c r="CR160">
        <f t="shared" si="100"/>
        <v>0</v>
      </c>
      <c r="CS160">
        <f t="shared" si="101"/>
        <v>0</v>
      </c>
      <c r="CT160">
        <f t="shared" si="102"/>
        <v>0</v>
      </c>
      <c r="CU160">
        <f t="shared" si="103"/>
        <v>0</v>
      </c>
      <c r="CV160">
        <f t="shared" si="104"/>
        <v>0</v>
      </c>
      <c r="CW160">
        <f t="shared" si="105"/>
        <v>0</v>
      </c>
      <c r="CX160">
        <f t="shared" si="106"/>
        <v>0</v>
      </c>
      <c r="CY160">
        <f t="shared" si="107"/>
        <v>0</v>
      </c>
      <c r="CZ160">
        <f t="shared" si="108"/>
        <v>0</v>
      </c>
      <c r="DN160">
        <v>161</v>
      </c>
      <c r="DO160">
        <v>107</v>
      </c>
      <c r="DP160">
        <v>1.047</v>
      </c>
      <c r="DQ160">
        <v>1.03</v>
      </c>
      <c r="DR160">
        <v>2.16</v>
      </c>
      <c r="DS160">
        <v>1</v>
      </c>
      <c r="DT160">
        <v>1</v>
      </c>
      <c r="DU160">
        <v>1010</v>
      </c>
      <c r="DV160" t="s">
        <v>22</v>
      </c>
      <c r="DW160" t="s">
        <v>22</v>
      </c>
      <c r="DX160">
        <v>1</v>
      </c>
      <c r="EE160">
        <v>18683707</v>
      </c>
      <c r="EF160">
        <v>30</v>
      </c>
      <c r="EG160" t="s">
        <v>44</v>
      </c>
      <c r="EH160">
        <v>0</v>
      </c>
      <c r="EJ160">
        <v>1</v>
      </c>
      <c r="EK160">
        <v>153</v>
      </c>
      <c r="EL160" t="s">
        <v>295</v>
      </c>
      <c r="EM160" t="s">
        <v>296</v>
      </c>
      <c r="EQ160">
        <v>0</v>
      </c>
      <c r="ER160">
        <v>2280.28</v>
      </c>
      <c r="ES160">
        <v>2280.28</v>
      </c>
      <c r="ET160">
        <v>0</v>
      </c>
      <c r="EU160">
        <v>0</v>
      </c>
      <c r="EV160">
        <v>0</v>
      </c>
      <c r="EW160">
        <v>0</v>
      </c>
      <c r="EX160">
        <v>0</v>
      </c>
      <c r="EZ160">
        <v>0</v>
      </c>
      <c r="FQ160">
        <v>0</v>
      </c>
      <c r="FR160">
        <f t="shared" si="109"/>
        <v>0</v>
      </c>
      <c r="FS160">
        <v>0</v>
      </c>
      <c r="FX160">
        <v>0</v>
      </c>
      <c r="FY160">
        <v>0</v>
      </c>
      <c r="GA160">
        <v>2280.28</v>
      </c>
      <c r="GB160">
        <v>2280.28</v>
      </c>
      <c r="GC160">
        <v>0</v>
      </c>
      <c r="GD160">
        <v>0</v>
      </c>
      <c r="GE160">
        <v>0</v>
      </c>
      <c r="GF160">
        <v>2280.28</v>
      </c>
      <c r="GG160">
        <v>2280.28</v>
      </c>
      <c r="GH160">
        <v>0</v>
      </c>
      <c r="GI160">
        <v>0</v>
      </c>
      <c r="GJ160">
        <v>0</v>
      </c>
      <c r="GK160">
        <v>0</v>
      </c>
      <c r="GL160">
        <v>0</v>
      </c>
    </row>
    <row r="161" spans="1:194" ht="12.75">
      <c r="A161">
        <v>17</v>
      </c>
      <c r="B161">
        <v>1</v>
      </c>
      <c r="C161">
        <f>ROW(SmtRes!A21)</f>
        <v>21</v>
      </c>
      <c r="D161">
        <f>ROW(EtalonRes!A22)</f>
        <v>22</v>
      </c>
      <c r="E161" t="s">
        <v>302</v>
      </c>
      <c r="F161" t="s">
        <v>303</v>
      </c>
      <c r="G161" t="s">
        <v>304</v>
      </c>
      <c r="H161" t="s">
        <v>305</v>
      </c>
      <c r="I161">
        <v>0.001</v>
      </c>
      <c r="J161">
        <v>0</v>
      </c>
      <c r="O161">
        <f t="shared" si="86"/>
        <v>42.45</v>
      </c>
      <c r="P161">
        <f t="shared" si="87"/>
        <v>0</v>
      </c>
      <c r="Q161">
        <f t="shared" si="88"/>
        <v>19.32</v>
      </c>
      <c r="R161">
        <f t="shared" si="89"/>
        <v>10.08</v>
      </c>
      <c r="S161">
        <f t="shared" si="90"/>
        <v>23.13</v>
      </c>
      <c r="T161">
        <f t="shared" si="91"/>
        <v>0</v>
      </c>
      <c r="U161">
        <f t="shared" si="92"/>
        <v>0.162285</v>
      </c>
      <c r="V161">
        <f t="shared" si="93"/>
        <v>0</v>
      </c>
      <c r="W161">
        <f t="shared" si="94"/>
        <v>0</v>
      </c>
      <c r="X161">
        <f t="shared" si="95"/>
        <v>16.88</v>
      </c>
      <c r="Y161">
        <f t="shared" si="96"/>
        <v>9.71</v>
      </c>
      <c r="AA161">
        <v>0</v>
      </c>
      <c r="AB161">
        <f t="shared" si="97"/>
        <v>4401.5</v>
      </c>
      <c r="AC161">
        <f aca="true" t="shared" si="111" ref="AC161:AC171">(ES161)</f>
        <v>0</v>
      </c>
      <c r="AD161">
        <f aca="true" t="shared" si="112" ref="AD161:AD170">(((ET161)-(EU161))+AE161)</f>
        <v>2713.55</v>
      </c>
      <c r="AE161">
        <f>(EU161)</f>
        <v>735.23</v>
      </c>
      <c r="AF161">
        <f>(EV161)</f>
        <v>1687.95</v>
      </c>
      <c r="AG161">
        <f aca="true" t="shared" si="113" ref="AG161:AG171">(AP161)</f>
        <v>0</v>
      </c>
      <c r="AH161">
        <f>(EW161)</f>
        <v>155</v>
      </c>
      <c r="AI161">
        <f>(EX161)</f>
        <v>0</v>
      </c>
      <c r="AJ161">
        <f aca="true" t="shared" si="114" ref="AJ161:AJ171">(AS161)</f>
        <v>0</v>
      </c>
      <c r="AK161">
        <v>4401.5</v>
      </c>
      <c r="AL161">
        <v>0</v>
      </c>
      <c r="AM161">
        <v>2713.55</v>
      </c>
      <c r="AN161">
        <v>735.23</v>
      </c>
      <c r="AO161">
        <v>1687.95</v>
      </c>
      <c r="AP161">
        <v>0</v>
      </c>
      <c r="AQ161">
        <v>155</v>
      </c>
      <c r="AR161">
        <v>0</v>
      </c>
      <c r="AS161">
        <v>0</v>
      </c>
      <c r="AT161">
        <v>73</v>
      </c>
      <c r="AU161">
        <v>42</v>
      </c>
      <c r="AV161">
        <v>1.047</v>
      </c>
      <c r="AW161">
        <v>1</v>
      </c>
      <c r="AX161">
        <v>1</v>
      </c>
      <c r="AY161">
        <v>13.09</v>
      </c>
      <c r="AZ161">
        <v>13.09</v>
      </c>
      <c r="BA161">
        <v>13.09</v>
      </c>
      <c r="BB161">
        <v>6.8</v>
      </c>
      <c r="BC161">
        <v>1</v>
      </c>
      <c r="BH161">
        <v>0</v>
      </c>
      <c r="BI161">
        <v>1</v>
      </c>
      <c r="BJ161" t="s">
        <v>306</v>
      </c>
      <c r="BM161">
        <v>674</v>
      </c>
      <c r="BN161">
        <v>0</v>
      </c>
      <c r="BO161" t="s">
        <v>303</v>
      </c>
      <c r="BP161">
        <v>1</v>
      </c>
      <c r="BQ161">
        <v>60</v>
      </c>
      <c r="BR161">
        <v>0</v>
      </c>
      <c r="BS161">
        <v>13.09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73</v>
      </c>
      <c r="CA161">
        <v>42</v>
      </c>
      <c r="CF161">
        <v>0</v>
      </c>
      <c r="CG161">
        <v>0</v>
      </c>
      <c r="CM161">
        <v>0</v>
      </c>
      <c r="CO161">
        <v>0</v>
      </c>
      <c r="CP161">
        <f t="shared" si="98"/>
        <v>42.45</v>
      </c>
      <c r="CQ161">
        <f t="shared" si="99"/>
        <v>0</v>
      </c>
      <c r="CR161">
        <f t="shared" si="100"/>
        <v>19319.39058</v>
      </c>
      <c r="CS161">
        <f t="shared" si="101"/>
        <v>10076.4962529</v>
      </c>
      <c r="CT161">
        <f t="shared" si="102"/>
        <v>23133.7429785</v>
      </c>
      <c r="CU161">
        <f t="shared" si="103"/>
        <v>0</v>
      </c>
      <c r="CV161">
        <f t="shared" si="104"/>
        <v>162.285</v>
      </c>
      <c r="CW161">
        <f t="shared" si="105"/>
        <v>0</v>
      </c>
      <c r="CX161">
        <f t="shared" si="106"/>
        <v>0</v>
      </c>
      <c r="CY161">
        <f t="shared" si="107"/>
        <v>16.8849</v>
      </c>
      <c r="CZ161">
        <f t="shared" si="108"/>
        <v>9.714599999999999</v>
      </c>
      <c r="DN161">
        <v>80</v>
      </c>
      <c r="DO161">
        <v>55</v>
      </c>
      <c r="DP161">
        <v>1.047</v>
      </c>
      <c r="DQ161">
        <v>1</v>
      </c>
      <c r="DR161">
        <v>1</v>
      </c>
      <c r="DS161">
        <v>1</v>
      </c>
      <c r="DT161">
        <v>13.09</v>
      </c>
      <c r="DU161">
        <v>1007</v>
      </c>
      <c r="DV161" t="s">
        <v>305</v>
      </c>
      <c r="DW161" t="s">
        <v>305</v>
      </c>
      <c r="DX161">
        <v>100</v>
      </c>
      <c r="EE161">
        <v>18684228</v>
      </c>
      <c r="EF161">
        <v>60</v>
      </c>
      <c r="EG161" t="s">
        <v>36</v>
      </c>
      <c r="EH161">
        <v>0</v>
      </c>
      <c r="EJ161">
        <v>1</v>
      </c>
      <c r="EK161">
        <v>674</v>
      </c>
      <c r="EL161" t="s">
        <v>307</v>
      </c>
      <c r="EM161" t="s">
        <v>308</v>
      </c>
      <c r="EQ161">
        <v>64</v>
      </c>
      <c r="ER161">
        <v>4401.5</v>
      </c>
      <c r="ES161">
        <v>0</v>
      </c>
      <c r="ET161">
        <v>2713.55</v>
      </c>
      <c r="EU161">
        <v>735.23</v>
      </c>
      <c r="EV161">
        <v>1687.95</v>
      </c>
      <c r="EW161">
        <v>155</v>
      </c>
      <c r="EX161">
        <v>0</v>
      </c>
      <c r="EY161">
        <v>0</v>
      </c>
      <c r="EZ161">
        <v>0</v>
      </c>
      <c r="FQ161">
        <v>0</v>
      </c>
      <c r="FR161">
        <f t="shared" si="109"/>
        <v>0</v>
      </c>
      <c r="FS161">
        <v>0</v>
      </c>
      <c r="FX161">
        <v>73</v>
      </c>
      <c r="FY161">
        <v>42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1</v>
      </c>
      <c r="GL161">
        <v>0</v>
      </c>
    </row>
    <row r="162" spans="1:194" ht="12.75">
      <c r="A162">
        <v>17</v>
      </c>
      <c r="B162">
        <v>1</v>
      </c>
      <c r="C162">
        <f>ROW(SmtRes!A25)</f>
        <v>25</v>
      </c>
      <c r="D162">
        <f>ROW(EtalonRes!A26)</f>
        <v>26</v>
      </c>
      <c r="E162" t="s">
        <v>309</v>
      </c>
      <c r="F162" t="s">
        <v>310</v>
      </c>
      <c r="G162" t="s">
        <v>311</v>
      </c>
      <c r="H162" t="s">
        <v>305</v>
      </c>
      <c r="I162">
        <v>0.002</v>
      </c>
      <c r="J162">
        <v>0</v>
      </c>
      <c r="O162">
        <f t="shared" si="86"/>
        <v>38.15</v>
      </c>
      <c r="P162">
        <f t="shared" si="87"/>
        <v>0</v>
      </c>
      <c r="Q162">
        <f t="shared" si="88"/>
        <v>21.03</v>
      </c>
      <c r="R162">
        <f t="shared" si="89"/>
        <v>7.7</v>
      </c>
      <c r="S162">
        <f t="shared" si="90"/>
        <v>17.12</v>
      </c>
      <c r="T162">
        <f t="shared" si="91"/>
        <v>0</v>
      </c>
      <c r="U162">
        <f t="shared" si="92"/>
        <v>0.103653</v>
      </c>
      <c r="V162">
        <f t="shared" si="93"/>
        <v>0</v>
      </c>
      <c r="W162">
        <f t="shared" si="94"/>
        <v>0</v>
      </c>
      <c r="X162">
        <f t="shared" si="95"/>
        <v>12.5</v>
      </c>
      <c r="Y162">
        <f t="shared" si="96"/>
        <v>7.19</v>
      </c>
      <c r="AA162">
        <v>0</v>
      </c>
      <c r="AB162">
        <f t="shared" si="97"/>
        <v>2198.84</v>
      </c>
      <c r="AC162">
        <f t="shared" si="111"/>
        <v>0</v>
      </c>
      <c r="AD162">
        <f t="shared" si="112"/>
        <v>1574.15</v>
      </c>
      <c r="AE162">
        <f>(EU162)</f>
        <v>280.92</v>
      </c>
      <c r="AF162">
        <f>(EV162)</f>
        <v>624.69</v>
      </c>
      <c r="AG162">
        <f t="shared" si="113"/>
        <v>0</v>
      </c>
      <c r="AH162">
        <f>(EW162)</f>
        <v>49.5</v>
      </c>
      <c r="AI162">
        <f>(EX162)</f>
        <v>0</v>
      </c>
      <c r="AJ162">
        <f t="shared" si="114"/>
        <v>0</v>
      </c>
      <c r="AK162">
        <v>2198.84</v>
      </c>
      <c r="AL162">
        <v>0</v>
      </c>
      <c r="AM162">
        <v>1574.15</v>
      </c>
      <c r="AN162">
        <v>280.92</v>
      </c>
      <c r="AO162">
        <v>624.69</v>
      </c>
      <c r="AP162">
        <v>0</v>
      </c>
      <c r="AQ162">
        <v>49.5</v>
      </c>
      <c r="AR162">
        <v>0</v>
      </c>
      <c r="AS162">
        <v>0</v>
      </c>
      <c r="AT162">
        <v>73</v>
      </c>
      <c r="AU162">
        <v>42</v>
      </c>
      <c r="AV162">
        <v>1.047</v>
      </c>
      <c r="AW162">
        <v>1</v>
      </c>
      <c r="AX162">
        <v>1</v>
      </c>
      <c r="AY162">
        <v>13.09</v>
      </c>
      <c r="AZ162">
        <v>13.09</v>
      </c>
      <c r="BA162">
        <v>13.09</v>
      </c>
      <c r="BB162">
        <v>6.38</v>
      </c>
      <c r="BC162">
        <v>1</v>
      </c>
      <c r="BH162">
        <v>0</v>
      </c>
      <c r="BI162">
        <v>1</v>
      </c>
      <c r="BJ162" t="s">
        <v>312</v>
      </c>
      <c r="BM162">
        <v>674</v>
      </c>
      <c r="BN162">
        <v>0</v>
      </c>
      <c r="BO162" t="s">
        <v>310</v>
      </c>
      <c r="BP162">
        <v>1</v>
      </c>
      <c r="BQ162">
        <v>60</v>
      </c>
      <c r="BR162">
        <v>0</v>
      </c>
      <c r="BS162">
        <v>13.09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73</v>
      </c>
      <c r="CA162">
        <v>42</v>
      </c>
      <c r="CF162">
        <v>0</v>
      </c>
      <c r="CG162">
        <v>0</v>
      </c>
      <c r="CM162">
        <v>0</v>
      </c>
      <c r="CO162">
        <v>0</v>
      </c>
      <c r="CP162">
        <f t="shared" si="98"/>
        <v>38.150000000000006</v>
      </c>
      <c r="CQ162">
        <f t="shared" si="99"/>
        <v>0</v>
      </c>
      <c r="CR162">
        <f t="shared" si="100"/>
        <v>10515.101619000001</v>
      </c>
      <c r="CS162">
        <f t="shared" si="101"/>
        <v>3850.0732116</v>
      </c>
      <c r="CT162">
        <f t="shared" si="102"/>
        <v>8561.5201287</v>
      </c>
      <c r="CU162">
        <f t="shared" si="103"/>
        <v>0</v>
      </c>
      <c r="CV162">
        <f t="shared" si="104"/>
        <v>51.826499999999996</v>
      </c>
      <c r="CW162">
        <f t="shared" si="105"/>
        <v>0</v>
      </c>
      <c r="CX162">
        <f t="shared" si="106"/>
        <v>0</v>
      </c>
      <c r="CY162">
        <f t="shared" si="107"/>
        <v>12.4976</v>
      </c>
      <c r="CZ162">
        <f t="shared" si="108"/>
        <v>7.1904</v>
      </c>
      <c r="DN162">
        <v>80</v>
      </c>
      <c r="DO162">
        <v>55</v>
      </c>
      <c r="DP162">
        <v>1.047</v>
      </c>
      <c r="DQ162">
        <v>1</v>
      </c>
      <c r="DR162">
        <v>1</v>
      </c>
      <c r="DS162">
        <v>1</v>
      </c>
      <c r="DT162">
        <v>13.09</v>
      </c>
      <c r="DU162">
        <v>1007</v>
      </c>
      <c r="DV162" t="s">
        <v>305</v>
      </c>
      <c r="DW162" t="s">
        <v>305</v>
      </c>
      <c r="DX162">
        <v>100</v>
      </c>
      <c r="EE162">
        <v>18684228</v>
      </c>
      <c r="EF162">
        <v>60</v>
      </c>
      <c r="EG162" t="s">
        <v>36</v>
      </c>
      <c r="EH162">
        <v>0</v>
      </c>
      <c r="EJ162">
        <v>1</v>
      </c>
      <c r="EK162">
        <v>674</v>
      </c>
      <c r="EL162" t="s">
        <v>307</v>
      </c>
      <c r="EM162" t="s">
        <v>308</v>
      </c>
      <c r="EQ162">
        <v>64</v>
      </c>
      <c r="ER162">
        <v>2198.84</v>
      </c>
      <c r="ES162">
        <v>0</v>
      </c>
      <c r="ET162">
        <v>1574.15</v>
      </c>
      <c r="EU162">
        <v>280.92</v>
      </c>
      <c r="EV162">
        <v>624.69</v>
      </c>
      <c r="EW162">
        <v>49.5</v>
      </c>
      <c r="EX162">
        <v>0</v>
      </c>
      <c r="EY162">
        <v>0</v>
      </c>
      <c r="EZ162">
        <v>0</v>
      </c>
      <c r="FQ162">
        <v>0</v>
      </c>
      <c r="FR162">
        <f t="shared" si="109"/>
        <v>0</v>
      </c>
      <c r="FS162">
        <v>0</v>
      </c>
      <c r="FX162">
        <v>73</v>
      </c>
      <c r="FY162">
        <v>42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1</v>
      </c>
      <c r="GL162">
        <v>0</v>
      </c>
    </row>
    <row r="163" spans="1:194" ht="12.75">
      <c r="A163">
        <v>17</v>
      </c>
      <c r="B163">
        <v>1</v>
      </c>
      <c r="C163">
        <f>ROW(SmtRes!A26)</f>
        <v>26</v>
      </c>
      <c r="D163">
        <f>ROW(EtalonRes!A27)</f>
        <v>27</v>
      </c>
      <c r="E163" t="s">
        <v>313</v>
      </c>
      <c r="F163" t="s">
        <v>314</v>
      </c>
      <c r="G163" t="s">
        <v>315</v>
      </c>
      <c r="H163" t="s">
        <v>305</v>
      </c>
      <c r="I163">
        <f>0.022</f>
        <v>0.022</v>
      </c>
      <c r="J163">
        <v>0</v>
      </c>
      <c r="O163">
        <f t="shared" si="86"/>
        <v>844.23</v>
      </c>
      <c r="P163">
        <f t="shared" si="87"/>
        <v>0</v>
      </c>
      <c r="Q163">
        <f t="shared" si="88"/>
        <v>0</v>
      </c>
      <c r="R163">
        <f t="shared" si="89"/>
        <v>0</v>
      </c>
      <c r="S163">
        <f t="shared" si="90"/>
        <v>844.23</v>
      </c>
      <c r="T163">
        <f t="shared" si="91"/>
        <v>0</v>
      </c>
      <c r="U163">
        <f t="shared" si="92"/>
        <v>6.0843868799999985</v>
      </c>
      <c r="V163">
        <f t="shared" si="93"/>
        <v>0</v>
      </c>
      <c r="W163">
        <f t="shared" si="94"/>
        <v>0</v>
      </c>
      <c r="X163">
        <f t="shared" si="95"/>
        <v>759.81</v>
      </c>
      <c r="Y163">
        <f t="shared" si="96"/>
        <v>354.58</v>
      </c>
      <c r="AA163">
        <v>0</v>
      </c>
      <c r="AB163">
        <f t="shared" si="97"/>
        <v>2349.013</v>
      </c>
      <c r="AC163">
        <f t="shared" si="111"/>
        <v>0</v>
      </c>
      <c r="AD163">
        <f t="shared" si="112"/>
        <v>0</v>
      </c>
      <c r="AE163">
        <f aca="true" t="shared" si="115" ref="AE163:AE170">(EU163)</f>
        <v>0</v>
      </c>
      <c r="AF163">
        <f>((EV163*1.15))</f>
        <v>2349.013</v>
      </c>
      <c r="AG163">
        <f t="shared" si="113"/>
        <v>0</v>
      </c>
      <c r="AH163">
        <f>((EW163*1.15))</f>
        <v>221.60499999999996</v>
      </c>
      <c r="AI163">
        <f aca="true" t="shared" si="116" ref="AI163:AI170">(EX163)</f>
        <v>0</v>
      </c>
      <c r="AJ163">
        <f t="shared" si="114"/>
        <v>0</v>
      </c>
      <c r="AK163">
        <v>2042.62</v>
      </c>
      <c r="AL163">
        <v>0</v>
      </c>
      <c r="AM163">
        <v>0</v>
      </c>
      <c r="AN163">
        <v>0</v>
      </c>
      <c r="AO163">
        <v>2042.62</v>
      </c>
      <c r="AP163">
        <v>0</v>
      </c>
      <c r="AQ163">
        <v>192.7</v>
      </c>
      <c r="AR163">
        <v>0</v>
      </c>
      <c r="AS163">
        <v>0</v>
      </c>
      <c r="AT163">
        <v>90</v>
      </c>
      <c r="AU163">
        <v>42</v>
      </c>
      <c r="AV163">
        <v>1.248</v>
      </c>
      <c r="AW163">
        <v>1</v>
      </c>
      <c r="AX163">
        <v>1</v>
      </c>
      <c r="AY163">
        <v>13.09</v>
      </c>
      <c r="AZ163">
        <v>13.09</v>
      </c>
      <c r="BA163">
        <v>13.09</v>
      </c>
      <c r="BB163">
        <v>1</v>
      </c>
      <c r="BC163">
        <v>1</v>
      </c>
      <c r="BH163">
        <v>0</v>
      </c>
      <c r="BI163">
        <v>1</v>
      </c>
      <c r="BJ163" t="s">
        <v>316</v>
      </c>
      <c r="BM163">
        <v>16</v>
      </c>
      <c r="BN163">
        <v>0</v>
      </c>
      <c r="BO163" t="s">
        <v>314</v>
      </c>
      <c r="BP163">
        <v>1</v>
      </c>
      <c r="BQ163">
        <v>30</v>
      </c>
      <c r="BR163">
        <v>0</v>
      </c>
      <c r="BS163">
        <v>13.09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90</v>
      </c>
      <c r="CA163">
        <v>42</v>
      </c>
      <c r="CF163">
        <v>0</v>
      </c>
      <c r="CG163">
        <v>0</v>
      </c>
      <c r="CM163">
        <v>0</v>
      </c>
      <c r="CN163" t="s">
        <v>317</v>
      </c>
      <c r="CO163">
        <v>0</v>
      </c>
      <c r="CP163">
        <f t="shared" si="98"/>
        <v>844.23</v>
      </c>
      <c r="CQ163">
        <f t="shared" si="99"/>
        <v>0</v>
      </c>
      <c r="CR163">
        <f t="shared" si="100"/>
        <v>0</v>
      </c>
      <c r="CS163">
        <f t="shared" si="101"/>
        <v>0</v>
      </c>
      <c r="CT163">
        <f t="shared" si="102"/>
        <v>38374.228052160004</v>
      </c>
      <c r="CU163">
        <f t="shared" si="103"/>
        <v>0</v>
      </c>
      <c r="CV163">
        <f t="shared" si="104"/>
        <v>276.56303999999994</v>
      </c>
      <c r="CW163">
        <f t="shared" si="105"/>
        <v>0</v>
      </c>
      <c r="CX163">
        <f t="shared" si="106"/>
        <v>0</v>
      </c>
      <c r="CY163">
        <f t="shared" si="107"/>
        <v>759.807</v>
      </c>
      <c r="CZ163">
        <f t="shared" si="108"/>
        <v>354.5766</v>
      </c>
      <c r="DG163" t="s">
        <v>294</v>
      </c>
      <c r="DI163" t="s">
        <v>294</v>
      </c>
      <c r="DN163">
        <v>105</v>
      </c>
      <c r="DO163">
        <v>77</v>
      </c>
      <c r="DP163">
        <v>1.248</v>
      </c>
      <c r="DQ163">
        <v>1</v>
      </c>
      <c r="DR163">
        <v>1</v>
      </c>
      <c r="DS163">
        <v>1</v>
      </c>
      <c r="DT163">
        <v>13.09</v>
      </c>
      <c r="DU163">
        <v>1007</v>
      </c>
      <c r="DV163" t="s">
        <v>305</v>
      </c>
      <c r="DW163" t="s">
        <v>305</v>
      </c>
      <c r="DX163">
        <v>100</v>
      </c>
      <c r="EE163">
        <v>18683570</v>
      </c>
      <c r="EF163">
        <v>30</v>
      </c>
      <c r="EG163" t="s">
        <v>44</v>
      </c>
      <c r="EH163">
        <v>0</v>
      </c>
      <c r="EJ163">
        <v>1</v>
      </c>
      <c r="EK163">
        <v>16</v>
      </c>
      <c r="EL163" t="s">
        <v>318</v>
      </c>
      <c r="EM163" t="s">
        <v>319</v>
      </c>
      <c r="EO163" t="s">
        <v>320</v>
      </c>
      <c r="EQ163">
        <v>320</v>
      </c>
      <c r="ER163">
        <v>2042.62</v>
      </c>
      <c r="ES163">
        <v>0</v>
      </c>
      <c r="ET163">
        <v>0</v>
      </c>
      <c r="EU163">
        <v>0</v>
      </c>
      <c r="EV163">
        <v>2042.62</v>
      </c>
      <c r="EW163">
        <v>192.7</v>
      </c>
      <c r="EX163">
        <v>0</v>
      </c>
      <c r="EY163">
        <v>0</v>
      </c>
      <c r="EZ163">
        <v>0</v>
      </c>
      <c r="FQ163">
        <v>0</v>
      </c>
      <c r="FR163">
        <f t="shared" si="109"/>
        <v>0</v>
      </c>
      <c r="FS163">
        <v>0</v>
      </c>
      <c r="FX163">
        <v>90</v>
      </c>
      <c r="FY163">
        <v>42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</row>
    <row r="164" spans="1:194" ht="12.75">
      <c r="A164">
        <v>17</v>
      </c>
      <c r="B164">
        <v>1</v>
      </c>
      <c r="C164">
        <f>ROW(SmtRes!A27)</f>
        <v>27</v>
      </c>
      <c r="D164">
        <f>ROW(EtalonRes!A28)</f>
        <v>28</v>
      </c>
      <c r="E164" t="s">
        <v>321</v>
      </c>
      <c r="F164" t="s">
        <v>322</v>
      </c>
      <c r="G164" t="s">
        <v>323</v>
      </c>
      <c r="H164" t="s">
        <v>305</v>
      </c>
      <c r="I164">
        <v>0.003</v>
      </c>
      <c r="J164">
        <v>0</v>
      </c>
      <c r="O164">
        <f t="shared" si="86"/>
        <v>59.24</v>
      </c>
      <c r="P164">
        <f t="shared" si="87"/>
        <v>0</v>
      </c>
      <c r="Q164">
        <f t="shared" si="88"/>
        <v>0</v>
      </c>
      <c r="R164">
        <f t="shared" si="89"/>
        <v>0</v>
      </c>
      <c r="S164">
        <f t="shared" si="90"/>
        <v>59.24</v>
      </c>
      <c r="T164">
        <f t="shared" si="91"/>
        <v>0</v>
      </c>
      <c r="U164">
        <f t="shared" si="92"/>
        <v>0.460871424</v>
      </c>
      <c r="V164">
        <f t="shared" si="93"/>
        <v>0</v>
      </c>
      <c r="W164">
        <f t="shared" si="94"/>
        <v>0</v>
      </c>
      <c r="X164">
        <f t="shared" si="95"/>
        <v>53.32</v>
      </c>
      <c r="Y164">
        <f t="shared" si="96"/>
        <v>24.88</v>
      </c>
      <c r="AA164">
        <v>0</v>
      </c>
      <c r="AB164">
        <f t="shared" si="97"/>
        <v>1208.7995</v>
      </c>
      <c r="AC164">
        <f t="shared" si="111"/>
        <v>0</v>
      </c>
      <c r="AD164">
        <f t="shared" si="112"/>
        <v>0</v>
      </c>
      <c r="AE164">
        <f t="shared" si="115"/>
        <v>0</v>
      </c>
      <c r="AF164">
        <f>((EV164*1.15))</f>
        <v>1208.7995</v>
      </c>
      <c r="AG164">
        <f t="shared" si="113"/>
        <v>0</v>
      </c>
      <c r="AH164">
        <f>((EW164*1.15))</f>
        <v>123.096</v>
      </c>
      <c r="AI164">
        <f t="shared" si="116"/>
        <v>0</v>
      </c>
      <c r="AJ164">
        <f t="shared" si="114"/>
        <v>0</v>
      </c>
      <c r="AK164">
        <v>1051.13</v>
      </c>
      <c r="AL164">
        <v>0</v>
      </c>
      <c r="AM164">
        <v>0</v>
      </c>
      <c r="AN164">
        <v>0</v>
      </c>
      <c r="AO164">
        <v>1051.13</v>
      </c>
      <c r="AP164">
        <v>0</v>
      </c>
      <c r="AQ164">
        <v>107.04</v>
      </c>
      <c r="AR164">
        <v>0</v>
      </c>
      <c r="AS164">
        <v>0</v>
      </c>
      <c r="AT164">
        <v>90</v>
      </c>
      <c r="AU164">
        <v>42</v>
      </c>
      <c r="AV164">
        <v>1.248</v>
      </c>
      <c r="AW164">
        <v>1</v>
      </c>
      <c r="AX164">
        <v>1</v>
      </c>
      <c r="AY164">
        <v>13.09</v>
      </c>
      <c r="AZ164">
        <v>13.09</v>
      </c>
      <c r="BA164">
        <v>13.09</v>
      </c>
      <c r="BB164">
        <v>1</v>
      </c>
      <c r="BC164">
        <v>1</v>
      </c>
      <c r="BH164">
        <v>0</v>
      </c>
      <c r="BI164">
        <v>1</v>
      </c>
      <c r="BJ164" t="s">
        <v>324</v>
      </c>
      <c r="BM164">
        <v>16</v>
      </c>
      <c r="BN164">
        <v>0</v>
      </c>
      <c r="BO164" t="s">
        <v>322</v>
      </c>
      <c r="BP164">
        <v>1</v>
      </c>
      <c r="BQ164">
        <v>30</v>
      </c>
      <c r="BR164">
        <v>0</v>
      </c>
      <c r="BS164">
        <v>13.09</v>
      </c>
      <c r="BT164">
        <v>1</v>
      </c>
      <c r="BU164">
        <v>1</v>
      </c>
      <c r="BV164">
        <v>1</v>
      </c>
      <c r="BW164">
        <v>1</v>
      </c>
      <c r="BX164">
        <v>1</v>
      </c>
      <c r="BZ164">
        <v>90</v>
      </c>
      <c r="CA164">
        <v>42</v>
      </c>
      <c r="CF164">
        <v>0</v>
      </c>
      <c r="CG164">
        <v>0</v>
      </c>
      <c r="CM164">
        <v>0</v>
      </c>
      <c r="CO164">
        <v>0</v>
      </c>
      <c r="CP164">
        <f t="shared" si="98"/>
        <v>59.24</v>
      </c>
      <c r="CQ164">
        <f t="shared" si="99"/>
        <v>0</v>
      </c>
      <c r="CR164">
        <f t="shared" si="100"/>
        <v>0</v>
      </c>
      <c r="CS164">
        <f t="shared" si="101"/>
        <v>0</v>
      </c>
      <c r="CT164">
        <f t="shared" si="102"/>
        <v>19747.33544784</v>
      </c>
      <c r="CU164">
        <f t="shared" si="103"/>
        <v>0</v>
      </c>
      <c r="CV164">
        <f t="shared" si="104"/>
        <v>153.623808</v>
      </c>
      <c r="CW164">
        <f t="shared" si="105"/>
        <v>0</v>
      </c>
      <c r="CX164">
        <f t="shared" si="106"/>
        <v>0</v>
      </c>
      <c r="CY164">
        <f t="shared" si="107"/>
        <v>53.316</v>
      </c>
      <c r="CZ164">
        <f t="shared" si="108"/>
        <v>24.8808</v>
      </c>
      <c r="DG164" t="s">
        <v>294</v>
      </c>
      <c r="DI164" t="s">
        <v>294</v>
      </c>
      <c r="DN164">
        <v>105</v>
      </c>
      <c r="DO164">
        <v>77</v>
      </c>
      <c r="DP164">
        <v>1.248</v>
      </c>
      <c r="DQ164">
        <v>1</v>
      </c>
      <c r="DR164">
        <v>1</v>
      </c>
      <c r="DS164">
        <v>1</v>
      </c>
      <c r="DT164">
        <v>13.09</v>
      </c>
      <c r="DU164">
        <v>1007</v>
      </c>
      <c r="DV164" t="s">
        <v>305</v>
      </c>
      <c r="DW164" t="s">
        <v>305</v>
      </c>
      <c r="DX164">
        <v>100</v>
      </c>
      <c r="EE164">
        <v>18683570</v>
      </c>
      <c r="EF164">
        <v>30</v>
      </c>
      <c r="EG164" t="s">
        <v>44</v>
      </c>
      <c r="EH164">
        <v>0</v>
      </c>
      <c r="EJ164">
        <v>1</v>
      </c>
      <c r="EK164">
        <v>16</v>
      </c>
      <c r="EL164" t="s">
        <v>318</v>
      </c>
      <c r="EM164" t="s">
        <v>319</v>
      </c>
      <c r="EQ164">
        <v>64</v>
      </c>
      <c r="ER164">
        <v>1051.13</v>
      </c>
      <c r="ES164">
        <v>0</v>
      </c>
      <c r="ET164">
        <v>0</v>
      </c>
      <c r="EU164">
        <v>0</v>
      </c>
      <c r="EV164">
        <v>1051.13</v>
      </c>
      <c r="EW164">
        <v>107.04</v>
      </c>
      <c r="EX164">
        <v>0</v>
      </c>
      <c r="EY164">
        <v>0</v>
      </c>
      <c r="EZ164">
        <v>0</v>
      </c>
      <c r="FQ164">
        <v>0</v>
      </c>
      <c r="FR164">
        <f t="shared" si="109"/>
        <v>0</v>
      </c>
      <c r="FS164">
        <v>0</v>
      </c>
      <c r="FX164">
        <v>90</v>
      </c>
      <c r="FY164">
        <v>42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</row>
    <row r="165" spans="1:194" ht="12.75">
      <c r="A165">
        <v>17</v>
      </c>
      <c r="B165">
        <v>1</v>
      </c>
      <c r="C165">
        <f>ROW(SmtRes!A28)</f>
        <v>28</v>
      </c>
      <c r="D165">
        <f>ROW(EtalonRes!A29)</f>
        <v>29</v>
      </c>
      <c r="E165" t="s">
        <v>325</v>
      </c>
      <c r="F165" t="s">
        <v>326</v>
      </c>
      <c r="G165" t="s">
        <v>327</v>
      </c>
      <c r="H165" t="s">
        <v>305</v>
      </c>
      <c r="I165">
        <v>0.019</v>
      </c>
      <c r="J165">
        <v>0</v>
      </c>
      <c r="O165">
        <f t="shared" si="86"/>
        <v>246.8</v>
      </c>
      <c r="P165">
        <f t="shared" si="87"/>
        <v>0</v>
      </c>
      <c r="Q165">
        <f t="shared" si="88"/>
        <v>0</v>
      </c>
      <c r="R165">
        <f t="shared" si="89"/>
        <v>0</v>
      </c>
      <c r="S165">
        <f t="shared" si="90"/>
        <v>246.8</v>
      </c>
      <c r="T165">
        <f t="shared" si="91"/>
        <v>0</v>
      </c>
      <c r="U165">
        <f t="shared" si="92"/>
        <v>1.968096</v>
      </c>
      <c r="V165">
        <f t="shared" si="93"/>
        <v>0</v>
      </c>
      <c r="W165">
        <f t="shared" si="94"/>
        <v>0</v>
      </c>
      <c r="X165">
        <f t="shared" si="95"/>
        <v>192.5</v>
      </c>
      <c r="Y165">
        <f t="shared" si="96"/>
        <v>103.66</v>
      </c>
      <c r="AA165">
        <v>0</v>
      </c>
      <c r="AB165">
        <f t="shared" si="97"/>
        <v>795.14</v>
      </c>
      <c r="AC165">
        <f t="shared" si="111"/>
        <v>0</v>
      </c>
      <c r="AD165">
        <f t="shared" si="112"/>
        <v>0</v>
      </c>
      <c r="AE165">
        <f t="shared" si="115"/>
        <v>0</v>
      </c>
      <c r="AF165">
        <f aca="true" t="shared" si="117" ref="AF165:AF170">(EV165)</f>
        <v>795.14</v>
      </c>
      <c r="AG165">
        <f t="shared" si="113"/>
        <v>0</v>
      </c>
      <c r="AH165">
        <f aca="true" t="shared" si="118" ref="AH165:AH170">(EW165)</f>
        <v>83</v>
      </c>
      <c r="AI165">
        <f t="shared" si="116"/>
        <v>0</v>
      </c>
      <c r="AJ165">
        <f t="shared" si="114"/>
        <v>0</v>
      </c>
      <c r="AK165">
        <v>795.14</v>
      </c>
      <c r="AL165">
        <v>0</v>
      </c>
      <c r="AM165">
        <v>0</v>
      </c>
      <c r="AN165">
        <v>0</v>
      </c>
      <c r="AO165">
        <v>795.14</v>
      </c>
      <c r="AP165">
        <v>0</v>
      </c>
      <c r="AQ165">
        <v>83</v>
      </c>
      <c r="AR165">
        <v>0</v>
      </c>
      <c r="AS165">
        <v>0</v>
      </c>
      <c r="AT165">
        <v>78</v>
      </c>
      <c r="AU165">
        <v>42</v>
      </c>
      <c r="AV165">
        <v>1.248</v>
      </c>
      <c r="AW165">
        <v>1</v>
      </c>
      <c r="AX165">
        <v>1</v>
      </c>
      <c r="AY165">
        <v>13.09</v>
      </c>
      <c r="AZ165">
        <v>13.09</v>
      </c>
      <c r="BA165">
        <v>13.09</v>
      </c>
      <c r="BB165">
        <v>1</v>
      </c>
      <c r="BC165">
        <v>1</v>
      </c>
      <c r="BH165">
        <v>0</v>
      </c>
      <c r="BI165">
        <v>1</v>
      </c>
      <c r="BJ165" t="s">
        <v>328</v>
      </c>
      <c r="BM165">
        <v>393</v>
      </c>
      <c r="BN165">
        <v>0</v>
      </c>
      <c r="BO165" t="s">
        <v>326</v>
      </c>
      <c r="BP165">
        <v>1</v>
      </c>
      <c r="BQ165">
        <v>60</v>
      </c>
      <c r="BR165">
        <v>0</v>
      </c>
      <c r="BS165">
        <v>13.09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78</v>
      </c>
      <c r="CA165">
        <v>42</v>
      </c>
      <c r="CF165">
        <v>0</v>
      </c>
      <c r="CG165">
        <v>0</v>
      </c>
      <c r="CM165">
        <v>0</v>
      </c>
      <c r="CO165">
        <v>0</v>
      </c>
      <c r="CP165">
        <f t="shared" si="98"/>
        <v>246.8</v>
      </c>
      <c r="CQ165">
        <f t="shared" si="99"/>
        <v>0</v>
      </c>
      <c r="CR165">
        <f t="shared" si="100"/>
        <v>0</v>
      </c>
      <c r="CS165">
        <f t="shared" si="101"/>
        <v>0</v>
      </c>
      <c r="CT165">
        <f t="shared" si="102"/>
        <v>12989.661484799999</v>
      </c>
      <c r="CU165">
        <f t="shared" si="103"/>
        <v>0</v>
      </c>
      <c r="CV165">
        <f t="shared" si="104"/>
        <v>103.584</v>
      </c>
      <c r="CW165">
        <f t="shared" si="105"/>
        <v>0</v>
      </c>
      <c r="CX165">
        <f t="shared" si="106"/>
        <v>0</v>
      </c>
      <c r="CY165">
        <f t="shared" si="107"/>
        <v>192.50400000000002</v>
      </c>
      <c r="CZ165">
        <f t="shared" si="108"/>
        <v>103.656</v>
      </c>
      <c r="DN165">
        <v>91</v>
      </c>
      <c r="DO165">
        <v>67</v>
      </c>
      <c r="DP165">
        <v>1.248</v>
      </c>
      <c r="DQ165">
        <v>1</v>
      </c>
      <c r="DR165">
        <v>1</v>
      </c>
      <c r="DS165">
        <v>1</v>
      </c>
      <c r="DT165">
        <v>13.09</v>
      </c>
      <c r="DU165">
        <v>1007</v>
      </c>
      <c r="DV165" t="s">
        <v>305</v>
      </c>
      <c r="DW165" t="s">
        <v>305</v>
      </c>
      <c r="DX165">
        <v>100</v>
      </c>
      <c r="EE165">
        <v>18683947</v>
      </c>
      <c r="EF165">
        <v>60</v>
      </c>
      <c r="EG165" t="s">
        <v>36</v>
      </c>
      <c r="EH165">
        <v>0</v>
      </c>
      <c r="EJ165">
        <v>1</v>
      </c>
      <c r="EK165">
        <v>393</v>
      </c>
      <c r="EL165" t="s">
        <v>329</v>
      </c>
      <c r="EM165" t="s">
        <v>330</v>
      </c>
      <c r="EQ165">
        <v>64</v>
      </c>
      <c r="ER165">
        <v>795.14</v>
      </c>
      <c r="ES165">
        <v>0</v>
      </c>
      <c r="ET165">
        <v>0</v>
      </c>
      <c r="EU165">
        <v>0</v>
      </c>
      <c r="EV165">
        <v>795.14</v>
      </c>
      <c r="EW165">
        <v>83</v>
      </c>
      <c r="EX165">
        <v>0</v>
      </c>
      <c r="EY165">
        <v>0</v>
      </c>
      <c r="EZ165">
        <v>0</v>
      </c>
      <c r="FQ165">
        <v>0</v>
      </c>
      <c r="FR165">
        <f t="shared" si="109"/>
        <v>0</v>
      </c>
      <c r="FS165">
        <v>0</v>
      </c>
      <c r="FX165">
        <v>78</v>
      </c>
      <c r="FY165">
        <v>42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</row>
    <row r="166" spans="1:194" ht="12.75">
      <c r="A166">
        <v>17</v>
      </c>
      <c r="B166">
        <v>1</v>
      </c>
      <c r="E166" t="s">
        <v>331</v>
      </c>
      <c r="F166" t="s">
        <v>332</v>
      </c>
      <c r="G166" t="s">
        <v>333</v>
      </c>
      <c r="H166" t="s">
        <v>34</v>
      </c>
      <c r="I166">
        <v>1.9</v>
      </c>
      <c r="J166">
        <v>0</v>
      </c>
      <c r="O166">
        <f t="shared" si="86"/>
        <v>889.52</v>
      </c>
      <c r="P166">
        <f t="shared" si="87"/>
        <v>0</v>
      </c>
      <c r="Q166">
        <f t="shared" si="88"/>
        <v>889.52</v>
      </c>
      <c r="R166">
        <f t="shared" si="89"/>
        <v>0</v>
      </c>
      <c r="S166">
        <f t="shared" si="90"/>
        <v>0</v>
      </c>
      <c r="T166">
        <f t="shared" si="91"/>
        <v>0</v>
      </c>
      <c r="U166">
        <f t="shared" si="92"/>
        <v>0</v>
      </c>
      <c r="V166">
        <f t="shared" si="93"/>
        <v>0</v>
      </c>
      <c r="W166">
        <f t="shared" si="94"/>
        <v>0</v>
      </c>
      <c r="X166">
        <f t="shared" si="95"/>
        <v>0</v>
      </c>
      <c r="Y166">
        <f t="shared" si="96"/>
        <v>0</v>
      </c>
      <c r="AA166">
        <v>0</v>
      </c>
      <c r="AB166">
        <f t="shared" si="97"/>
        <v>87.02</v>
      </c>
      <c r="AC166">
        <f t="shared" si="111"/>
        <v>0</v>
      </c>
      <c r="AD166">
        <f t="shared" si="112"/>
        <v>87.02</v>
      </c>
      <c r="AE166">
        <f t="shared" si="115"/>
        <v>0</v>
      </c>
      <c r="AF166">
        <f t="shared" si="117"/>
        <v>0</v>
      </c>
      <c r="AG166">
        <f t="shared" si="113"/>
        <v>0</v>
      </c>
      <c r="AH166">
        <f t="shared" si="118"/>
        <v>0</v>
      </c>
      <c r="AI166">
        <f t="shared" si="116"/>
        <v>0</v>
      </c>
      <c r="AJ166">
        <f t="shared" si="114"/>
        <v>0</v>
      </c>
      <c r="AK166">
        <v>87.02</v>
      </c>
      <c r="AL166">
        <v>0</v>
      </c>
      <c r="AM166">
        <v>87.02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5.38</v>
      </c>
      <c r="BC166">
        <v>1</v>
      </c>
      <c r="BH166">
        <v>0</v>
      </c>
      <c r="BI166">
        <v>4</v>
      </c>
      <c r="BJ166" t="s">
        <v>334</v>
      </c>
      <c r="BM166">
        <v>1111</v>
      </c>
      <c r="BN166">
        <v>0</v>
      </c>
      <c r="BO166" t="s">
        <v>332</v>
      </c>
      <c r="BP166">
        <v>1</v>
      </c>
      <c r="BQ166">
        <v>150</v>
      </c>
      <c r="BR166">
        <v>0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Z166">
        <v>0</v>
      </c>
      <c r="CA166">
        <v>0</v>
      </c>
      <c r="CF166">
        <v>0</v>
      </c>
      <c r="CG166">
        <v>0</v>
      </c>
      <c r="CM166">
        <v>0</v>
      </c>
      <c r="CO166">
        <v>0</v>
      </c>
      <c r="CP166">
        <f t="shared" si="98"/>
        <v>889.52</v>
      </c>
      <c r="CQ166">
        <f t="shared" si="99"/>
        <v>0</v>
      </c>
      <c r="CR166">
        <f t="shared" si="100"/>
        <v>468.1676</v>
      </c>
      <c r="CS166">
        <f t="shared" si="101"/>
        <v>0</v>
      </c>
      <c r="CT166">
        <f t="shared" si="102"/>
        <v>0</v>
      </c>
      <c r="CU166">
        <f t="shared" si="103"/>
        <v>0</v>
      </c>
      <c r="CV166">
        <f t="shared" si="104"/>
        <v>0</v>
      </c>
      <c r="CW166">
        <f t="shared" si="105"/>
        <v>0</v>
      </c>
      <c r="CX166">
        <f t="shared" si="106"/>
        <v>0</v>
      </c>
      <c r="CY166">
        <f t="shared" si="107"/>
        <v>0</v>
      </c>
      <c r="CZ166">
        <f t="shared" si="108"/>
        <v>0</v>
      </c>
      <c r="DN166">
        <v>0</v>
      </c>
      <c r="DO166">
        <v>0</v>
      </c>
      <c r="DP166">
        <v>1</v>
      </c>
      <c r="DQ166">
        <v>1</v>
      </c>
      <c r="DR166">
        <v>1</v>
      </c>
      <c r="DS166">
        <v>1</v>
      </c>
      <c r="DT166">
        <v>1</v>
      </c>
      <c r="DU166">
        <v>1007</v>
      </c>
      <c r="DV166" t="s">
        <v>34</v>
      </c>
      <c r="DW166" t="s">
        <v>34</v>
      </c>
      <c r="DX166">
        <v>1</v>
      </c>
      <c r="EE166">
        <v>18684665</v>
      </c>
      <c r="EF166">
        <v>150</v>
      </c>
      <c r="EG166" t="s">
        <v>335</v>
      </c>
      <c r="EH166">
        <v>0</v>
      </c>
      <c r="EJ166">
        <v>4</v>
      </c>
      <c r="EK166">
        <v>1111</v>
      </c>
      <c r="EL166" t="s">
        <v>336</v>
      </c>
      <c r="EM166" t="s">
        <v>337</v>
      </c>
      <c r="EQ166">
        <v>0</v>
      </c>
      <c r="ER166">
        <v>87.02</v>
      </c>
      <c r="ES166">
        <v>0</v>
      </c>
      <c r="ET166">
        <v>87.02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Q166">
        <v>0</v>
      </c>
      <c r="FR166">
        <f t="shared" si="109"/>
        <v>0</v>
      </c>
      <c r="FS166">
        <v>0</v>
      </c>
      <c r="FX166">
        <v>0</v>
      </c>
      <c r="FY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</row>
    <row r="167" spans="1:194" ht="12.75">
      <c r="A167">
        <v>17</v>
      </c>
      <c r="B167">
        <v>1</v>
      </c>
      <c r="E167" t="s">
        <v>338</v>
      </c>
      <c r="F167" t="s">
        <v>339</v>
      </c>
      <c r="G167" t="s">
        <v>340</v>
      </c>
      <c r="H167" t="s">
        <v>34</v>
      </c>
      <c r="I167">
        <v>1.9</v>
      </c>
      <c r="J167">
        <v>0</v>
      </c>
      <c r="O167">
        <f t="shared" si="86"/>
        <v>141.62</v>
      </c>
      <c r="P167">
        <f t="shared" si="87"/>
        <v>0</v>
      </c>
      <c r="Q167">
        <f t="shared" si="88"/>
        <v>141.62</v>
      </c>
      <c r="R167">
        <f t="shared" si="89"/>
        <v>0</v>
      </c>
      <c r="S167">
        <f t="shared" si="90"/>
        <v>0</v>
      </c>
      <c r="T167">
        <f t="shared" si="91"/>
        <v>0</v>
      </c>
      <c r="U167">
        <f t="shared" si="92"/>
        <v>0</v>
      </c>
      <c r="V167">
        <f t="shared" si="93"/>
        <v>0</v>
      </c>
      <c r="W167">
        <f t="shared" si="94"/>
        <v>0</v>
      </c>
      <c r="X167">
        <f t="shared" si="95"/>
        <v>0</v>
      </c>
      <c r="Y167">
        <f t="shared" si="96"/>
        <v>0</v>
      </c>
      <c r="AA167">
        <v>0</v>
      </c>
      <c r="AB167">
        <f t="shared" si="97"/>
        <v>96.8</v>
      </c>
      <c r="AC167">
        <f t="shared" si="111"/>
        <v>0</v>
      </c>
      <c r="AD167">
        <f t="shared" si="112"/>
        <v>96.8</v>
      </c>
      <c r="AE167">
        <f t="shared" si="115"/>
        <v>0</v>
      </c>
      <c r="AF167">
        <f t="shared" si="117"/>
        <v>0</v>
      </c>
      <c r="AG167">
        <f t="shared" si="113"/>
        <v>0</v>
      </c>
      <c r="AH167">
        <f t="shared" si="118"/>
        <v>0</v>
      </c>
      <c r="AI167">
        <f t="shared" si="116"/>
        <v>0</v>
      </c>
      <c r="AJ167">
        <f t="shared" si="114"/>
        <v>0</v>
      </c>
      <c r="AK167">
        <v>96.8</v>
      </c>
      <c r="AL167">
        <v>0</v>
      </c>
      <c r="AM167">
        <v>96.8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0.77</v>
      </c>
      <c r="BC167">
        <v>1</v>
      </c>
      <c r="BH167">
        <v>0</v>
      </c>
      <c r="BI167">
        <v>4</v>
      </c>
      <c r="BJ167" t="s">
        <v>341</v>
      </c>
      <c r="BM167">
        <v>1110</v>
      </c>
      <c r="BN167">
        <v>0</v>
      </c>
      <c r="BO167" t="s">
        <v>339</v>
      </c>
      <c r="BP167">
        <v>1</v>
      </c>
      <c r="BQ167">
        <v>150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0</v>
      </c>
      <c r="CA167">
        <v>0</v>
      </c>
      <c r="CF167">
        <v>0</v>
      </c>
      <c r="CG167">
        <v>0</v>
      </c>
      <c r="CM167">
        <v>0</v>
      </c>
      <c r="CO167">
        <v>0</v>
      </c>
      <c r="CP167">
        <f t="shared" si="98"/>
        <v>141.62</v>
      </c>
      <c r="CQ167">
        <f t="shared" si="99"/>
        <v>0</v>
      </c>
      <c r="CR167">
        <f t="shared" si="100"/>
        <v>74.536</v>
      </c>
      <c r="CS167">
        <f t="shared" si="101"/>
        <v>0</v>
      </c>
      <c r="CT167">
        <f t="shared" si="102"/>
        <v>0</v>
      </c>
      <c r="CU167">
        <f t="shared" si="103"/>
        <v>0</v>
      </c>
      <c r="CV167">
        <f t="shared" si="104"/>
        <v>0</v>
      </c>
      <c r="CW167">
        <f t="shared" si="105"/>
        <v>0</v>
      </c>
      <c r="CX167">
        <f t="shared" si="106"/>
        <v>0</v>
      </c>
      <c r="CY167">
        <f t="shared" si="107"/>
        <v>0</v>
      </c>
      <c r="CZ167">
        <f t="shared" si="108"/>
        <v>0</v>
      </c>
      <c r="DN167">
        <v>0</v>
      </c>
      <c r="DO167">
        <v>0</v>
      </c>
      <c r="DP167">
        <v>1</v>
      </c>
      <c r="DQ167">
        <v>1</v>
      </c>
      <c r="DR167">
        <v>1</v>
      </c>
      <c r="DS167">
        <v>1</v>
      </c>
      <c r="DT167">
        <v>1</v>
      </c>
      <c r="DU167">
        <v>1007</v>
      </c>
      <c r="DV167" t="s">
        <v>34</v>
      </c>
      <c r="DW167" t="s">
        <v>34</v>
      </c>
      <c r="DX167">
        <v>1</v>
      </c>
      <c r="EE167">
        <v>18684664</v>
      </c>
      <c r="EF167">
        <v>150</v>
      </c>
      <c r="EG167" t="s">
        <v>335</v>
      </c>
      <c r="EH167">
        <v>0</v>
      </c>
      <c r="EJ167">
        <v>4</v>
      </c>
      <c r="EK167">
        <v>1110</v>
      </c>
      <c r="EL167" t="s">
        <v>342</v>
      </c>
      <c r="EM167" t="s">
        <v>343</v>
      </c>
      <c r="EQ167">
        <v>0</v>
      </c>
      <c r="ER167">
        <v>96.8</v>
      </c>
      <c r="ES167">
        <v>0</v>
      </c>
      <c r="ET167">
        <v>96.8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Q167">
        <v>0</v>
      </c>
      <c r="FR167">
        <f t="shared" si="109"/>
        <v>0</v>
      </c>
      <c r="FS167">
        <v>0</v>
      </c>
      <c r="FX167">
        <v>0</v>
      </c>
      <c r="FY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</row>
    <row r="168" spans="1:194" ht="12.75">
      <c r="A168">
        <v>17</v>
      </c>
      <c r="B168">
        <v>1</v>
      </c>
      <c r="C168">
        <f>ROW(SmtRes!A29)</f>
        <v>29</v>
      </c>
      <c r="D168">
        <f>ROW(EtalonRes!A30)</f>
        <v>30</v>
      </c>
      <c r="E168" t="s">
        <v>344</v>
      </c>
      <c r="F168" t="s">
        <v>345</v>
      </c>
      <c r="G168" t="s">
        <v>346</v>
      </c>
      <c r="H168" t="s">
        <v>120</v>
      </c>
      <c r="I168">
        <f>0.732+0.9*2.4*1</f>
        <v>2.8920000000000003</v>
      </c>
      <c r="J168">
        <v>0</v>
      </c>
      <c r="O168">
        <f t="shared" si="86"/>
        <v>173.84</v>
      </c>
      <c r="P168">
        <f t="shared" si="87"/>
        <v>0</v>
      </c>
      <c r="Q168">
        <f t="shared" si="88"/>
        <v>173.84</v>
      </c>
      <c r="R168">
        <f t="shared" si="89"/>
        <v>58.66</v>
      </c>
      <c r="S168">
        <f t="shared" si="90"/>
        <v>0</v>
      </c>
      <c r="T168">
        <f t="shared" si="91"/>
        <v>0</v>
      </c>
      <c r="U168">
        <f t="shared" si="92"/>
        <v>0</v>
      </c>
      <c r="V168">
        <f t="shared" si="93"/>
        <v>0</v>
      </c>
      <c r="W168">
        <f t="shared" si="94"/>
        <v>0</v>
      </c>
      <c r="X168">
        <f t="shared" si="95"/>
        <v>0</v>
      </c>
      <c r="Y168">
        <f t="shared" si="96"/>
        <v>0</v>
      </c>
      <c r="AA168">
        <v>0</v>
      </c>
      <c r="AB168">
        <f t="shared" si="97"/>
        <v>8.86</v>
      </c>
      <c r="AC168">
        <f t="shared" si="111"/>
        <v>0</v>
      </c>
      <c r="AD168">
        <f t="shared" si="112"/>
        <v>8.86</v>
      </c>
      <c r="AE168">
        <f t="shared" si="115"/>
        <v>1.48</v>
      </c>
      <c r="AF168">
        <f t="shared" si="117"/>
        <v>0</v>
      </c>
      <c r="AG168">
        <f t="shared" si="113"/>
        <v>0</v>
      </c>
      <c r="AH168">
        <f t="shared" si="118"/>
        <v>0</v>
      </c>
      <c r="AI168">
        <f t="shared" si="116"/>
        <v>0</v>
      </c>
      <c r="AJ168">
        <f t="shared" si="114"/>
        <v>0</v>
      </c>
      <c r="AK168">
        <v>8.86</v>
      </c>
      <c r="AL168">
        <v>0</v>
      </c>
      <c r="AM168">
        <v>8.86</v>
      </c>
      <c r="AN168">
        <v>1.48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78</v>
      </c>
      <c r="AU168">
        <v>42</v>
      </c>
      <c r="AV168">
        <v>1.047</v>
      </c>
      <c r="AW168">
        <v>1.002</v>
      </c>
      <c r="AX168">
        <v>1</v>
      </c>
      <c r="AY168">
        <v>13.09</v>
      </c>
      <c r="AZ168">
        <v>13.09</v>
      </c>
      <c r="BA168">
        <v>13.09</v>
      </c>
      <c r="BB168">
        <v>6.48</v>
      </c>
      <c r="BC168">
        <v>1</v>
      </c>
      <c r="BH168">
        <v>0</v>
      </c>
      <c r="BI168">
        <v>1</v>
      </c>
      <c r="BJ168" t="s">
        <v>347</v>
      </c>
      <c r="BM168">
        <v>658</v>
      </c>
      <c r="BN168">
        <v>0</v>
      </c>
      <c r="BO168" t="s">
        <v>345</v>
      </c>
      <c r="BP168">
        <v>1</v>
      </c>
      <c r="BQ168">
        <v>60</v>
      </c>
      <c r="BR168">
        <v>0</v>
      </c>
      <c r="BS168">
        <v>13.09</v>
      </c>
      <c r="BT168">
        <v>1</v>
      </c>
      <c r="BU168">
        <v>1</v>
      </c>
      <c r="BV168">
        <v>1</v>
      </c>
      <c r="BW168">
        <v>1</v>
      </c>
      <c r="BX168">
        <v>1</v>
      </c>
      <c r="BZ168">
        <v>78</v>
      </c>
      <c r="CA168">
        <v>42</v>
      </c>
      <c r="CF168">
        <v>0</v>
      </c>
      <c r="CG168">
        <v>0</v>
      </c>
      <c r="CM168">
        <v>0</v>
      </c>
      <c r="CO168">
        <v>0</v>
      </c>
      <c r="CP168">
        <f t="shared" si="98"/>
        <v>173.84</v>
      </c>
      <c r="CQ168">
        <f t="shared" si="99"/>
        <v>0</v>
      </c>
      <c r="CR168">
        <f t="shared" si="100"/>
        <v>60.111201599999994</v>
      </c>
      <c r="CS168">
        <f t="shared" si="101"/>
        <v>20.2837404</v>
      </c>
      <c r="CT168">
        <f t="shared" si="102"/>
        <v>0</v>
      </c>
      <c r="CU168">
        <f t="shared" si="103"/>
        <v>0</v>
      </c>
      <c r="CV168">
        <f t="shared" si="104"/>
        <v>0</v>
      </c>
      <c r="CW168">
        <f t="shared" si="105"/>
        <v>0</v>
      </c>
      <c r="CX168">
        <f t="shared" si="106"/>
        <v>0</v>
      </c>
      <c r="CY168">
        <f t="shared" si="107"/>
        <v>0</v>
      </c>
      <c r="CZ168">
        <f t="shared" si="108"/>
        <v>0</v>
      </c>
      <c r="DN168">
        <v>91</v>
      </c>
      <c r="DO168">
        <v>70</v>
      </c>
      <c r="DP168">
        <v>1.047</v>
      </c>
      <c r="DQ168">
        <v>1.002</v>
      </c>
      <c r="DR168">
        <v>1</v>
      </c>
      <c r="DS168">
        <v>1</v>
      </c>
      <c r="DT168">
        <v>13.09</v>
      </c>
      <c r="DU168">
        <v>1009</v>
      </c>
      <c r="DV168" t="s">
        <v>120</v>
      </c>
      <c r="DW168" t="s">
        <v>120</v>
      </c>
      <c r="DX168">
        <v>1000</v>
      </c>
      <c r="EE168">
        <v>18684212</v>
      </c>
      <c r="EF168">
        <v>60</v>
      </c>
      <c r="EG168" t="s">
        <v>36</v>
      </c>
      <c r="EH168">
        <v>0</v>
      </c>
      <c r="EJ168">
        <v>1</v>
      </c>
      <c r="EK168">
        <v>658</v>
      </c>
      <c r="EL168" t="s">
        <v>348</v>
      </c>
      <c r="EM168" t="s">
        <v>349</v>
      </c>
      <c r="EQ168">
        <v>0</v>
      </c>
      <c r="ER168">
        <v>8.86</v>
      </c>
      <c r="ES168">
        <v>0</v>
      </c>
      <c r="ET168">
        <v>8.86</v>
      </c>
      <c r="EU168">
        <v>1.48</v>
      </c>
      <c r="EV168">
        <v>0</v>
      </c>
      <c r="EW168">
        <v>0</v>
      </c>
      <c r="EX168">
        <v>0</v>
      </c>
      <c r="EY168">
        <v>0</v>
      </c>
      <c r="EZ168">
        <v>0</v>
      </c>
      <c r="FQ168">
        <v>0</v>
      </c>
      <c r="FR168">
        <f t="shared" si="109"/>
        <v>0</v>
      </c>
      <c r="FS168">
        <v>0</v>
      </c>
      <c r="FX168">
        <v>78</v>
      </c>
      <c r="FY168">
        <v>42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1</v>
      </c>
      <c r="GL168">
        <v>0</v>
      </c>
    </row>
    <row r="169" spans="1:194" ht="12.75">
      <c r="A169">
        <v>17</v>
      </c>
      <c r="B169">
        <v>1</v>
      </c>
      <c r="E169" t="s">
        <v>350</v>
      </c>
      <c r="F169" t="s">
        <v>351</v>
      </c>
      <c r="G169" t="s">
        <v>352</v>
      </c>
      <c r="H169" t="s">
        <v>120</v>
      </c>
      <c r="I169">
        <v>2.892</v>
      </c>
      <c r="J169">
        <v>0</v>
      </c>
      <c r="O169">
        <f t="shared" si="86"/>
        <v>917.85</v>
      </c>
      <c r="P169">
        <f t="shared" si="87"/>
        <v>0</v>
      </c>
      <c r="Q169">
        <f t="shared" si="88"/>
        <v>917.85</v>
      </c>
      <c r="R169">
        <f t="shared" si="89"/>
        <v>0</v>
      </c>
      <c r="S169">
        <f t="shared" si="90"/>
        <v>0</v>
      </c>
      <c r="T169">
        <f t="shared" si="91"/>
        <v>0</v>
      </c>
      <c r="U169">
        <f t="shared" si="92"/>
        <v>0</v>
      </c>
      <c r="V169">
        <f t="shared" si="93"/>
        <v>0</v>
      </c>
      <c r="W169">
        <f t="shared" si="94"/>
        <v>0</v>
      </c>
      <c r="X169">
        <f t="shared" si="95"/>
        <v>0</v>
      </c>
      <c r="Y169">
        <f t="shared" si="96"/>
        <v>0</v>
      </c>
      <c r="AA169">
        <v>0</v>
      </c>
      <c r="AB169">
        <f t="shared" si="97"/>
        <v>71.32</v>
      </c>
      <c r="AC169">
        <f t="shared" si="111"/>
        <v>0</v>
      </c>
      <c r="AD169">
        <f t="shared" si="112"/>
        <v>71.32</v>
      </c>
      <c r="AE169">
        <f t="shared" si="115"/>
        <v>0</v>
      </c>
      <c r="AF169">
        <f t="shared" si="117"/>
        <v>0</v>
      </c>
      <c r="AG169">
        <f t="shared" si="113"/>
        <v>0</v>
      </c>
      <c r="AH169">
        <f t="shared" si="118"/>
        <v>0</v>
      </c>
      <c r="AI169">
        <f t="shared" si="116"/>
        <v>0</v>
      </c>
      <c r="AJ169">
        <f t="shared" si="114"/>
        <v>0</v>
      </c>
      <c r="AK169">
        <v>71.32</v>
      </c>
      <c r="AL169">
        <v>0</v>
      </c>
      <c r="AM169">
        <v>71.32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4.45</v>
      </c>
      <c r="BC169">
        <v>1</v>
      </c>
      <c r="BH169">
        <v>0</v>
      </c>
      <c r="BI169">
        <v>4</v>
      </c>
      <c r="BJ169" t="s">
        <v>353</v>
      </c>
      <c r="BM169">
        <v>1113</v>
      </c>
      <c r="BN169">
        <v>0</v>
      </c>
      <c r="BO169" t="s">
        <v>351</v>
      </c>
      <c r="BP169">
        <v>1</v>
      </c>
      <c r="BQ169">
        <v>150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0</v>
      </c>
      <c r="CA169">
        <v>0</v>
      </c>
      <c r="CF169">
        <v>0</v>
      </c>
      <c r="CG169">
        <v>0</v>
      </c>
      <c r="CM169">
        <v>0</v>
      </c>
      <c r="CO169">
        <v>0</v>
      </c>
      <c r="CP169">
        <f t="shared" si="98"/>
        <v>917.85</v>
      </c>
      <c r="CQ169">
        <f t="shared" si="99"/>
        <v>0</v>
      </c>
      <c r="CR169">
        <f t="shared" si="100"/>
        <v>317.37399999999997</v>
      </c>
      <c r="CS169">
        <f t="shared" si="101"/>
        <v>0</v>
      </c>
      <c r="CT169">
        <f t="shared" si="102"/>
        <v>0</v>
      </c>
      <c r="CU169">
        <f t="shared" si="103"/>
        <v>0</v>
      </c>
      <c r="CV169">
        <f t="shared" si="104"/>
        <v>0</v>
      </c>
      <c r="CW169">
        <f t="shared" si="105"/>
        <v>0</v>
      </c>
      <c r="CX169">
        <f t="shared" si="106"/>
        <v>0</v>
      </c>
      <c r="CY169">
        <f t="shared" si="107"/>
        <v>0</v>
      </c>
      <c r="CZ169">
        <f t="shared" si="108"/>
        <v>0</v>
      </c>
      <c r="DN169">
        <v>0</v>
      </c>
      <c r="DO169">
        <v>0</v>
      </c>
      <c r="DP169">
        <v>1</v>
      </c>
      <c r="DQ169">
        <v>1</v>
      </c>
      <c r="DR169">
        <v>1</v>
      </c>
      <c r="DS169">
        <v>1</v>
      </c>
      <c r="DT169">
        <v>1</v>
      </c>
      <c r="DU169">
        <v>1009</v>
      </c>
      <c r="DV169" t="s">
        <v>120</v>
      </c>
      <c r="DW169" t="s">
        <v>120</v>
      </c>
      <c r="DX169">
        <v>1000</v>
      </c>
      <c r="EE169">
        <v>18684667</v>
      </c>
      <c r="EF169">
        <v>150</v>
      </c>
      <c r="EG169" t="s">
        <v>335</v>
      </c>
      <c r="EH169">
        <v>0</v>
      </c>
      <c r="EJ169">
        <v>4</v>
      </c>
      <c r="EK169">
        <v>1113</v>
      </c>
      <c r="EL169" t="s">
        <v>354</v>
      </c>
      <c r="EM169" t="s">
        <v>355</v>
      </c>
      <c r="EQ169">
        <v>0</v>
      </c>
      <c r="ER169">
        <v>71.32</v>
      </c>
      <c r="ES169">
        <v>0</v>
      </c>
      <c r="ET169">
        <v>71.32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Q169">
        <v>0</v>
      </c>
      <c r="FR169">
        <f t="shared" si="109"/>
        <v>0</v>
      </c>
      <c r="FS169">
        <v>0</v>
      </c>
      <c r="FX169">
        <v>0</v>
      </c>
      <c r="FY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</row>
    <row r="170" spans="1:194" ht="12.75">
      <c r="A170">
        <v>17</v>
      </c>
      <c r="B170">
        <v>1</v>
      </c>
      <c r="E170" t="s">
        <v>356</v>
      </c>
      <c r="F170" t="s">
        <v>357</v>
      </c>
      <c r="G170" t="s">
        <v>358</v>
      </c>
      <c r="H170" t="s">
        <v>120</v>
      </c>
      <c r="I170">
        <v>2.892</v>
      </c>
      <c r="J170">
        <v>0</v>
      </c>
      <c r="O170">
        <f t="shared" si="86"/>
        <v>441.06</v>
      </c>
      <c r="P170">
        <f t="shared" si="87"/>
        <v>0</v>
      </c>
      <c r="Q170">
        <f t="shared" si="88"/>
        <v>441.06</v>
      </c>
      <c r="R170">
        <f t="shared" si="89"/>
        <v>0</v>
      </c>
      <c r="S170">
        <f t="shared" si="90"/>
        <v>0</v>
      </c>
      <c r="T170">
        <f t="shared" si="91"/>
        <v>0</v>
      </c>
      <c r="U170">
        <f t="shared" si="92"/>
        <v>0</v>
      </c>
      <c r="V170">
        <f t="shared" si="93"/>
        <v>0</v>
      </c>
      <c r="W170">
        <f t="shared" si="94"/>
        <v>0</v>
      </c>
      <c r="X170">
        <f t="shared" si="95"/>
        <v>0</v>
      </c>
      <c r="Y170">
        <f t="shared" si="96"/>
        <v>0</v>
      </c>
      <c r="AA170">
        <v>0</v>
      </c>
      <c r="AB170">
        <f t="shared" si="97"/>
        <v>101</v>
      </c>
      <c r="AC170">
        <f t="shared" si="111"/>
        <v>0</v>
      </c>
      <c r="AD170">
        <f t="shared" si="112"/>
        <v>101</v>
      </c>
      <c r="AE170">
        <f t="shared" si="115"/>
        <v>0</v>
      </c>
      <c r="AF170">
        <f t="shared" si="117"/>
        <v>0</v>
      </c>
      <c r="AG170">
        <f t="shared" si="113"/>
        <v>0</v>
      </c>
      <c r="AH170">
        <f t="shared" si="118"/>
        <v>0</v>
      </c>
      <c r="AI170">
        <f t="shared" si="116"/>
        <v>0</v>
      </c>
      <c r="AJ170">
        <f t="shared" si="114"/>
        <v>0</v>
      </c>
      <c r="AK170">
        <v>101</v>
      </c>
      <c r="AL170">
        <v>0</v>
      </c>
      <c r="AM170">
        <v>101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1.51</v>
      </c>
      <c r="BC170">
        <v>1</v>
      </c>
      <c r="BH170">
        <v>0</v>
      </c>
      <c r="BI170">
        <v>4</v>
      </c>
      <c r="BJ170" t="s">
        <v>359</v>
      </c>
      <c r="BM170">
        <v>1110</v>
      </c>
      <c r="BN170">
        <v>0</v>
      </c>
      <c r="BO170" t="s">
        <v>357</v>
      </c>
      <c r="BP170">
        <v>1</v>
      </c>
      <c r="BQ170">
        <v>150</v>
      </c>
      <c r="BR170">
        <v>0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Z170">
        <v>0</v>
      </c>
      <c r="CA170">
        <v>0</v>
      </c>
      <c r="CF170">
        <v>0</v>
      </c>
      <c r="CG170">
        <v>0</v>
      </c>
      <c r="CM170">
        <v>0</v>
      </c>
      <c r="CO170">
        <v>0</v>
      </c>
      <c r="CP170">
        <f t="shared" si="98"/>
        <v>441.06</v>
      </c>
      <c r="CQ170">
        <f t="shared" si="99"/>
        <v>0</v>
      </c>
      <c r="CR170">
        <f t="shared" si="100"/>
        <v>152.51</v>
      </c>
      <c r="CS170">
        <f t="shared" si="101"/>
        <v>0</v>
      </c>
      <c r="CT170">
        <f t="shared" si="102"/>
        <v>0</v>
      </c>
      <c r="CU170">
        <f t="shared" si="103"/>
        <v>0</v>
      </c>
      <c r="CV170">
        <f t="shared" si="104"/>
        <v>0</v>
      </c>
      <c r="CW170">
        <f t="shared" si="105"/>
        <v>0</v>
      </c>
      <c r="CX170">
        <f t="shared" si="106"/>
        <v>0</v>
      </c>
      <c r="CY170">
        <f t="shared" si="107"/>
        <v>0</v>
      </c>
      <c r="CZ170">
        <f t="shared" si="108"/>
        <v>0</v>
      </c>
      <c r="DN170">
        <v>0</v>
      </c>
      <c r="DO170">
        <v>0</v>
      </c>
      <c r="DP170">
        <v>1</v>
      </c>
      <c r="DQ170">
        <v>1</v>
      </c>
      <c r="DR170">
        <v>1</v>
      </c>
      <c r="DS170">
        <v>1</v>
      </c>
      <c r="DT170">
        <v>1</v>
      </c>
      <c r="DU170">
        <v>1009</v>
      </c>
      <c r="DV170" t="s">
        <v>120</v>
      </c>
      <c r="DW170" t="s">
        <v>120</v>
      </c>
      <c r="DX170">
        <v>1000</v>
      </c>
      <c r="EE170">
        <v>18684664</v>
      </c>
      <c r="EF170">
        <v>150</v>
      </c>
      <c r="EG170" t="s">
        <v>335</v>
      </c>
      <c r="EH170">
        <v>0</v>
      </c>
      <c r="EJ170">
        <v>4</v>
      </c>
      <c r="EK170">
        <v>1110</v>
      </c>
      <c r="EL170" t="s">
        <v>342</v>
      </c>
      <c r="EM170" t="s">
        <v>343</v>
      </c>
      <c r="EQ170">
        <v>0</v>
      </c>
      <c r="ER170">
        <v>101</v>
      </c>
      <c r="ES170">
        <v>0</v>
      </c>
      <c r="ET170">
        <v>101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Q170">
        <v>0</v>
      </c>
      <c r="FR170">
        <f t="shared" si="109"/>
        <v>0</v>
      </c>
      <c r="FS170">
        <v>0</v>
      </c>
      <c r="FX170">
        <v>0</v>
      </c>
      <c r="FY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</row>
    <row r="171" spans="1:194" ht="12.75">
      <c r="A171">
        <v>17</v>
      </c>
      <c r="B171">
        <v>1</v>
      </c>
      <c r="C171">
        <f>ROW(SmtRes!A37)</f>
        <v>37</v>
      </c>
      <c r="D171">
        <f>ROW(EtalonRes!A38)</f>
        <v>38</v>
      </c>
      <c r="E171" t="s">
        <v>360</v>
      </c>
      <c r="F171" t="s">
        <v>361</v>
      </c>
      <c r="G171" t="s">
        <v>362</v>
      </c>
      <c r="H171" t="s">
        <v>305</v>
      </c>
      <c r="I171">
        <v>0.001</v>
      </c>
      <c r="J171">
        <v>0</v>
      </c>
      <c r="O171">
        <f t="shared" si="86"/>
        <v>8.24</v>
      </c>
      <c r="P171">
        <f t="shared" si="87"/>
        <v>0.13</v>
      </c>
      <c r="Q171">
        <f t="shared" si="88"/>
        <v>5.72</v>
      </c>
      <c r="R171">
        <f t="shared" si="89"/>
        <v>1.88</v>
      </c>
      <c r="S171">
        <f t="shared" si="90"/>
        <v>2.39</v>
      </c>
      <c r="T171">
        <f t="shared" si="91"/>
        <v>0</v>
      </c>
      <c r="U171">
        <f t="shared" si="92"/>
        <v>0.017338319999999997</v>
      </c>
      <c r="V171">
        <f t="shared" si="93"/>
        <v>0</v>
      </c>
      <c r="W171">
        <f t="shared" si="94"/>
        <v>0</v>
      </c>
      <c r="X171">
        <f t="shared" si="95"/>
        <v>3.35</v>
      </c>
      <c r="Y171">
        <f t="shared" si="96"/>
        <v>1.36</v>
      </c>
      <c r="AA171">
        <v>0</v>
      </c>
      <c r="AB171">
        <f t="shared" si="97"/>
        <v>987.5039999999999</v>
      </c>
      <c r="AC171">
        <f t="shared" si="111"/>
        <v>35.35</v>
      </c>
      <c r="AD171">
        <f>((((ET171*1.15))-((EU171*1.15)))+AE171)</f>
        <v>777.9404999999999</v>
      </c>
      <c r="AE171">
        <f>((EU171*1.15))</f>
        <v>136.9075</v>
      </c>
      <c r="AF171">
        <f>((EV171*1.15))</f>
        <v>174.2135</v>
      </c>
      <c r="AG171">
        <f t="shared" si="113"/>
        <v>0</v>
      </c>
      <c r="AH171">
        <f>((EW171*1.15))</f>
        <v>16.56</v>
      </c>
      <c r="AI171">
        <f>((EX171*1.15))</f>
        <v>0</v>
      </c>
      <c r="AJ171">
        <f t="shared" si="114"/>
        <v>0</v>
      </c>
      <c r="AK171">
        <v>863.31</v>
      </c>
      <c r="AL171">
        <v>35.35</v>
      </c>
      <c r="AM171">
        <v>676.47</v>
      </c>
      <c r="AN171">
        <v>119.05</v>
      </c>
      <c r="AO171">
        <v>151.49</v>
      </c>
      <c r="AP171">
        <v>0</v>
      </c>
      <c r="AQ171">
        <v>14.4</v>
      </c>
      <c r="AR171">
        <v>0</v>
      </c>
      <c r="AS171">
        <v>0</v>
      </c>
      <c r="AT171">
        <v>140</v>
      </c>
      <c r="AU171">
        <v>57</v>
      </c>
      <c r="AV171">
        <v>1.047</v>
      </c>
      <c r="AW171">
        <v>1.002</v>
      </c>
      <c r="AX171">
        <v>1</v>
      </c>
      <c r="AY171">
        <v>13.09</v>
      </c>
      <c r="AZ171">
        <v>13.09</v>
      </c>
      <c r="BA171">
        <v>13.09</v>
      </c>
      <c r="BB171">
        <v>7.02</v>
      </c>
      <c r="BC171">
        <v>3.69</v>
      </c>
      <c r="BH171">
        <v>0</v>
      </c>
      <c r="BI171">
        <v>1</v>
      </c>
      <c r="BJ171" t="s">
        <v>363</v>
      </c>
      <c r="BM171">
        <v>146</v>
      </c>
      <c r="BN171">
        <v>0</v>
      </c>
      <c r="BO171" t="s">
        <v>361</v>
      </c>
      <c r="BP171">
        <v>1</v>
      </c>
      <c r="BQ171">
        <v>30</v>
      </c>
      <c r="BR171">
        <v>0</v>
      </c>
      <c r="BS171">
        <v>13.09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140</v>
      </c>
      <c r="CA171">
        <v>57</v>
      </c>
      <c r="CF171">
        <v>0</v>
      </c>
      <c r="CG171">
        <v>0</v>
      </c>
      <c r="CM171">
        <v>0</v>
      </c>
      <c r="CN171" t="s">
        <v>293</v>
      </c>
      <c r="CO171">
        <v>0</v>
      </c>
      <c r="CP171">
        <f t="shared" si="98"/>
        <v>8.24</v>
      </c>
      <c r="CQ171">
        <f t="shared" si="99"/>
        <v>130.702383</v>
      </c>
      <c r="CR171">
        <f t="shared" si="100"/>
        <v>5717.8159985699995</v>
      </c>
      <c r="CS171">
        <f t="shared" si="101"/>
        <v>1876.348776225</v>
      </c>
      <c r="CT171">
        <f t="shared" si="102"/>
        <v>2387.636086605</v>
      </c>
      <c r="CU171">
        <f t="shared" si="103"/>
        <v>0</v>
      </c>
      <c r="CV171">
        <f t="shared" si="104"/>
        <v>17.338319999999996</v>
      </c>
      <c r="CW171">
        <f t="shared" si="105"/>
        <v>0</v>
      </c>
      <c r="CX171">
        <f t="shared" si="106"/>
        <v>0</v>
      </c>
      <c r="CY171">
        <f t="shared" si="107"/>
        <v>3.346</v>
      </c>
      <c r="CZ171">
        <f t="shared" si="108"/>
        <v>1.3622999999999998</v>
      </c>
      <c r="DE171" t="s">
        <v>294</v>
      </c>
      <c r="DF171" t="s">
        <v>294</v>
      </c>
      <c r="DG171" t="s">
        <v>294</v>
      </c>
      <c r="DI171" t="s">
        <v>294</v>
      </c>
      <c r="DJ171" t="s">
        <v>294</v>
      </c>
      <c r="DN171">
        <v>161</v>
      </c>
      <c r="DO171">
        <v>107</v>
      </c>
      <c r="DP171">
        <v>1.047</v>
      </c>
      <c r="DQ171">
        <v>1.002</v>
      </c>
      <c r="DR171">
        <v>3.69</v>
      </c>
      <c r="DS171">
        <v>1</v>
      </c>
      <c r="DT171">
        <v>13.09</v>
      </c>
      <c r="DU171">
        <v>1007</v>
      </c>
      <c r="DV171" t="s">
        <v>305</v>
      </c>
      <c r="DW171" t="s">
        <v>305</v>
      </c>
      <c r="DX171">
        <v>100</v>
      </c>
      <c r="EE171">
        <v>18683700</v>
      </c>
      <c r="EF171">
        <v>30</v>
      </c>
      <c r="EG171" t="s">
        <v>44</v>
      </c>
      <c r="EH171">
        <v>0</v>
      </c>
      <c r="EJ171">
        <v>1</v>
      </c>
      <c r="EK171">
        <v>146</v>
      </c>
      <c r="EL171" t="s">
        <v>364</v>
      </c>
      <c r="EM171" t="s">
        <v>365</v>
      </c>
      <c r="EO171" t="s">
        <v>297</v>
      </c>
      <c r="EQ171">
        <v>64</v>
      </c>
      <c r="ER171">
        <v>863.31</v>
      </c>
      <c r="ES171">
        <v>35.35</v>
      </c>
      <c r="ET171">
        <v>676.47</v>
      </c>
      <c r="EU171">
        <v>119.05</v>
      </c>
      <c r="EV171">
        <v>151.49</v>
      </c>
      <c r="EW171">
        <v>14.4</v>
      </c>
      <c r="EX171">
        <v>0</v>
      </c>
      <c r="EY171">
        <v>0</v>
      </c>
      <c r="EZ171">
        <v>0</v>
      </c>
      <c r="FQ171">
        <v>0</v>
      </c>
      <c r="FR171">
        <f t="shared" si="109"/>
        <v>0</v>
      </c>
      <c r="FS171">
        <v>0</v>
      </c>
      <c r="FX171">
        <v>140</v>
      </c>
      <c r="FY171">
        <v>57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</row>
    <row r="172" spans="1:194" ht="12.75">
      <c r="A172">
        <v>18</v>
      </c>
      <c r="B172">
        <v>1</v>
      </c>
      <c r="C172">
        <v>37</v>
      </c>
      <c r="E172" t="s">
        <v>366</v>
      </c>
      <c r="F172" t="s">
        <v>367</v>
      </c>
      <c r="G172" t="s">
        <v>368</v>
      </c>
      <c r="H172" t="s">
        <v>34</v>
      </c>
      <c r="I172">
        <f>I171*J172</f>
        <v>0.158</v>
      </c>
      <c r="J172">
        <v>158</v>
      </c>
      <c r="O172">
        <f t="shared" si="86"/>
        <v>104.88</v>
      </c>
      <c r="P172">
        <f t="shared" si="87"/>
        <v>104.88</v>
      </c>
      <c r="Q172">
        <f t="shared" si="88"/>
        <v>0</v>
      </c>
      <c r="R172">
        <f t="shared" si="89"/>
        <v>0</v>
      </c>
      <c r="S172">
        <f t="shared" si="90"/>
        <v>0</v>
      </c>
      <c r="T172">
        <f t="shared" si="91"/>
        <v>0</v>
      </c>
      <c r="U172">
        <f t="shared" si="92"/>
        <v>0</v>
      </c>
      <c r="V172">
        <f t="shared" si="93"/>
        <v>0</v>
      </c>
      <c r="W172">
        <f t="shared" si="94"/>
        <v>0</v>
      </c>
      <c r="X172">
        <f t="shared" si="95"/>
        <v>0</v>
      </c>
      <c r="Y172">
        <f t="shared" si="96"/>
        <v>0</v>
      </c>
      <c r="AA172">
        <v>0</v>
      </c>
      <c r="AB172">
        <f t="shared" si="97"/>
        <v>104.99</v>
      </c>
      <c r="AC172">
        <f>AL172</f>
        <v>104.99</v>
      </c>
      <c r="AD172">
        <f>((AM172-AN172)+AE172)</f>
        <v>0</v>
      </c>
      <c r="AE172">
        <f aca="true" t="shared" si="119" ref="AE172:AJ172">AN172</f>
        <v>0</v>
      </c>
      <c r="AF172">
        <f t="shared" si="119"/>
        <v>0</v>
      </c>
      <c r="AG172">
        <f t="shared" si="119"/>
        <v>0</v>
      </c>
      <c r="AH172">
        <f t="shared" si="119"/>
        <v>0</v>
      </c>
      <c r="AI172">
        <f t="shared" si="119"/>
        <v>0</v>
      </c>
      <c r="AJ172">
        <f t="shared" si="119"/>
        <v>0</v>
      </c>
      <c r="AK172">
        <v>104.99</v>
      </c>
      <c r="AL172">
        <v>104.99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1</v>
      </c>
      <c r="AW172">
        <v>1.002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6.31</v>
      </c>
      <c r="BH172">
        <v>3</v>
      </c>
      <c r="BI172">
        <v>1</v>
      </c>
      <c r="BJ172" t="s">
        <v>369</v>
      </c>
      <c r="BM172">
        <v>146</v>
      </c>
      <c r="BN172">
        <v>0</v>
      </c>
      <c r="BO172" t="s">
        <v>367</v>
      </c>
      <c r="BP172">
        <v>1</v>
      </c>
      <c r="BQ172">
        <v>30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Z172">
        <v>0</v>
      </c>
      <c r="CA172">
        <v>0</v>
      </c>
      <c r="CF172">
        <v>0</v>
      </c>
      <c r="CG172">
        <v>0</v>
      </c>
      <c r="CM172">
        <v>0</v>
      </c>
      <c r="CO172">
        <v>0</v>
      </c>
      <c r="CP172">
        <f t="shared" si="98"/>
        <v>104.88</v>
      </c>
      <c r="CQ172">
        <f t="shared" si="99"/>
        <v>663.8118738</v>
      </c>
      <c r="CR172">
        <f t="shared" si="100"/>
        <v>0</v>
      </c>
      <c r="CS172">
        <f t="shared" si="101"/>
        <v>0</v>
      </c>
      <c r="CT172">
        <f t="shared" si="102"/>
        <v>0</v>
      </c>
      <c r="CU172">
        <f t="shared" si="103"/>
        <v>0</v>
      </c>
      <c r="CV172">
        <f t="shared" si="104"/>
        <v>0</v>
      </c>
      <c r="CW172">
        <f t="shared" si="105"/>
        <v>0</v>
      </c>
      <c r="CX172">
        <f t="shared" si="106"/>
        <v>0</v>
      </c>
      <c r="CY172">
        <f t="shared" si="107"/>
        <v>0</v>
      </c>
      <c r="CZ172">
        <f t="shared" si="108"/>
        <v>0</v>
      </c>
      <c r="DN172">
        <v>161</v>
      </c>
      <c r="DO172">
        <v>107</v>
      </c>
      <c r="DP172">
        <v>1.047</v>
      </c>
      <c r="DQ172">
        <v>1.002</v>
      </c>
      <c r="DR172">
        <v>6.31</v>
      </c>
      <c r="DS172">
        <v>1</v>
      </c>
      <c r="DT172">
        <v>1</v>
      </c>
      <c r="DU172">
        <v>1007</v>
      </c>
      <c r="DV172" t="s">
        <v>34</v>
      </c>
      <c r="DW172" t="s">
        <v>34</v>
      </c>
      <c r="DX172">
        <v>1</v>
      </c>
      <c r="EE172">
        <v>18683700</v>
      </c>
      <c r="EF172">
        <v>30</v>
      </c>
      <c r="EG172" t="s">
        <v>44</v>
      </c>
      <c r="EH172">
        <v>0</v>
      </c>
      <c r="EJ172">
        <v>1</v>
      </c>
      <c r="EK172">
        <v>146</v>
      </c>
      <c r="EL172" t="s">
        <v>364</v>
      </c>
      <c r="EM172" t="s">
        <v>365</v>
      </c>
      <c r="EQ172">
        <v>0</v>
      </c>
      <c r="ER172">
        <v>104.99</v>
      </c>
      <c r="ES172">
        <v>104.99</v>
      </c>
      <c r="ET172">
        <v>0</v>
      </c>
      <c r="EU172">
        <v>0</v>
      </c>
      <c r="EV172">
        <v>0</v>
      </c>
      <c r="EW172">
        <v>0</v>
      </c>
      <c r="EX172">
        <v>0</v>
      </c>
      <c r="EZ172">
        <v>0</v>
      </c>
      <c r="FQ172">
        <v>0</v>
      </c>
      <c r="FR172">
        <f t="shared" si="109"/>
        <v>0</v>
      </c>
      <c r="FS172">
        <v>0</v>
      </c>
      <c r="FX172">
        <v>0</v>
      </c>
      <c r="FY172">
        <v>0</v>
      </c>
      <c r="GA172">
        <v>104.99</v>
      </c>
      <c r="GB172">
        <v>104.99</v>
      </c>
      <c r="GC172">
        <v>0</v>
      </c>
      <c r="GD172">
        <v>0</v>
      </c>
      <c r="GE172">
        <v>0</v>
      </c>
      <c r="GF172">
        <v>104.99</v>
      </c>
      <c r="GG172">
        <v>104.99</v>
      </c>
      <c r="GH172">
        <v>0</v>
      </c>
      <c r="GI172">
        <v>0</v>
      </c>
      <c r="GJ172">
        <v>0</v>
      </c>
      <c r="GK172">
        <v>0</v>
      </c>
      <c r="GL172">
        <v>0</v>
      </c>
    </row>
    <row r="173" spans="1:194" ht="12.75">
      <c r="A173">
        <v>17</v>
      </c>
      <c r="B173">
        <v>1</v>
      </c>
      <c r="C173">
        <f>ROW(SmtRes!A47)</f>
        <v>47</v>
      </c>
      <c r="D173">
        <f>ROW(EtalonRes!A48)</f>
        <v>48</v>
      </c>
      <c r="E173" t="s">
        <v>370</v>
      </c>
      <c r="F173" t="s">
        <v>371</v>
      </c>
      <c r="G173" t="s">
        <v>372</v>
      </c>
      <c r="H173" t="s">
        <v>373</v>
      </c>
      <c r="I173">
        <v>0.0004</v>
      </c>
      <c r="J173">
        <v>0</v>
      </c>
      <c r="O173">
        <f t="shared" si="86"/>
        <v>41.74</v>
      </c>
      <c r="P173">
        <f t="shared" si="87"/>
        <v>14.6</v>
      </c>
      <c r="Q173">
        <f t="shared" si="88"/>
        <v>7.83</v>
      </c>
      <c r="R173">
        <f t="shared" si="89"/>
        <v>2.25</v>
      </c>
      <c r="S173">
        <f t="shared" si="90"/>
        <v>19.31</v>
      </c>
      <c r="T173">
        <f t="shared" si="91"/>
        <v>0</v>
      </c>
      <c r="U173">
        <f t="shared" si="92"/>
        <v>0.12859253999999998</v>
      </c>
      <c r="V173">
        <f t="shared" si="93"/>
        <v>0</v>
      </c>
      <c r="W173">
        <f t="shared" si="94"/>
        <v>0</v>
      </c>
      <c r="X173">
        <f t="shared" si="95"/>
        <v>27.03</v>
      </c>
      <c r="Y173">
        <f t="shared" si="96"/>
        <v>11.01</v>
      </c>
      <c r="AA173">
        <v>0</v>
      </c>
      <c r="AB173">
        <f t="shared" si="97"/>
        <v>12477.871</v>
      </c>
      <c r="AC173">
        <f>(ES173)</f>
        <v>6731.62</v>
      </c>
      <c r="AD173">
        <f>((((ET173*1.15))-((EU173*1.15)))+AE173)</f>
        <v>2224.3875</v>
      </c>
      <c r="AE173">
        <f>((EU173*1.15))</f>
        <v>411.24</v>
      </c>
      <c r="AF173">
        <f>((EV173*1.15))</f>
        <v>3521.8634999999995</v>
      </c>
      <c r="AG173">
        <f>(AP173)</f>
        <v>0</v>
      </c>
      <c r="AH173">
        <f>((EW173*1.15))</f>
        <v>307.04999999999995</v>
      </c>
      <c r="AI173">
        <f>((EX173*1.15))</f>
        <v>0</v>
      </c>
      <c r="AJ173">
        <f>(AS173)</f>
        <v>0</v>
      </c>
      <c r="AK173">
        <v>11728.36</v>
      </c>
      <c r="AL173">
        <v>6731.62</v>
      </c>
      <c r="AM173">
        <v>1934.25</v>
      </c>
      <c r="AN173">
        <v>357.6</v>
      </c>
      <c r="AO173">
        <v>3062.49</v>
      </c>
      <c r="AP173">
        <v>0</v>
      </c>
      <c r="AQ173">
        <v>267</v>
      </c>
      <c r="AR173">
        <v>0</v>
      </c>
      <c r="AS173">
        <v>0</v>
      </c>
      <c r="AT173">
        <v>140</v>
      </c>
      <c r="AU173">
        <v>57</v>
      </c>
      <c r="AV173">
        <v>1.047</v>
      </c>
      <c r="AW173">
        <v>1.002</v>
      </c>
      <c r="AX173">
        <v>1</v>
      </c>
      <c r="AY173">
        <v>13.09</v>
      </c>
      <c r="AZ173">
        <v>13.09</v>
      </c>
      <c r="BA173">
        <v>13.09</v>
      </c>
      <c r="BB173">
        <v>8.41</v>
      </c>
      <c r="BC173">
        <v>5.41</v>
      </c>
      <c r="BH173">
        <v>0</v>
      </c>
      <c r="BI173">
        <v>1</v>
      </c>
      <c r="BJ173" t="s">
        <v>374</v>
      </c>
      <c r="BM173">
        <v>152</v>
      </c>
      <c r="BN173">
        <v>0</v>
      </c>
      <c r="BO173" t="s">
        <v>371</v>
      </c>
      <c r="BP173">
        <v>1</v>
      </c>
      <c r="BQ173">
        <v>30</v>
      </c>
      <c r="BR173">
        <v>0</v>
      </c>
      <c r="BS173">
        <v>13.09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140</v>
      </c>
      <c r="CA173">
        <v>57</v>
      </c>
      <c r="CF173">
        <v>0</v>
      </c>
      <c r="CG173">
        <v>0</v>
      </c>
      <c r="CM173">
        <v>0</v>
      </c>
      <c r="CN173" t="s">
        <v>293</v>
      </c>
      <c r="CO173">
        <v>0</v>
      </c>
      <c r="CP173">
        <f t="shared" si="98"/>
        <v>41.739999999999995</v>
      </c>
      <c r="CQ173">
        <f t="shared" si="99"/>
        <v>36490.9003284</v>
      </c>
      <c r="CR173">
        <f t="shared" si="100"/>
        <v>19586.332522124998</v>
      </c>
      <c r="CS173">
        <f t="shared" si="101"/>
        <v>5636.1387852</v>
      </c>
      <c r="CT173">
        <f t="shared" si="102"/>
        <v>48267.94929610499</v>
      </c>
      <c r="CU173">
        <f t="shared" si="103"/>
        <v>0</v>
      </c>
      <c r="CV173">
        <f t="shared" si="104"/>
        <v>321.4813499999999</v>
      </c>
      <c r="CW173">
        <f t="shared" si="105"/>
        <v>0</v>
      </c>
      <c r="CX173">
        <f t="shared" si="106"/>
        <v>0</v>
      </c>
      <c r="CY173">
        <f t="shared" si="107"/>
        <v>27.033999999999995</v>
      </c>
      <c r="CZ173">
        <f t="shared" si="108"/>
        <v>11.006699999999999</v>
      </c>
      <c r="DE173" t="s">
        <v>294</v>
      </c>
      <c r="DF173" t="s">
        <v>294</v>
      </c>
      <c r="DG173" t="s">
        <v>294</v>
      </c>
      <c r="DI173" t="s">
        <v>294</v>
      </c>
      <c r="DJ173" t="s">
        <v>294</v>
      </c>
      <c r="DN173">
        <v>161</v>
      </c>
      <c r="DO173">
        <v>107</v>
      </c>
      <c r="DP173">
        <v>1.047</v>
      </c>
      <c r="DQ173">
        <v>1.002</v>
      </c>
      <c r="DR173">
        <v>5.41</v>
      </c>
      <c r="DS173">
        <v>1</v>
      </c>
      <c r="DT173">
        <v>13.09</v>
      </c>
      <c r="DU173">
        <v>1005</v>
      </c>
      <c r="DV173" t="s">
        <v>373</v>
      </c>
      <c r="DW173" t="s">
        <v>373</v>
      </c>
      <c r="DX173">
        <v>1000</v>
      </c>
      <c r="EE173">
        <v>18683706</v>
      </c>
      <c r="EF173">
        <v>30</v>
      </c>
      <c r="EG173" t="s">
        <v>44</v>
      </c>
      <c r="EH173">
        <v>0</v>
      </c>
      <c r="EJ173">
        <v>1</v>
      </c>
      <c r="EK173">
        <v>152</v>
      </c>
      <c r="EL173" t="s">
        <v>375</v>
      </c>
      <c r="EM173" t="s">
        <v>376</v>
      </c>
      <c r="EO173" t="s">
        <v>297</v>
      </c>
      <c r="EQ173">
        <v>64</v>
      </c>
      <c r="ER173">
        <v>11728.36</v>
      </c>
      <c r="ES173">
        <v>6731.62</v>
      </c>
      <c r="ET173">
        <v>1934.25</v>
      </c>
      <c r="EU173">
        <v>357.6</v>
      </c>
      <c r="EV173">
        <v>3062.49</v>
      </c>
      <c r="EW173">
        <v>267</v>
      </c>
      <c r="EX173">
        <v>0</v>
      </c>
      <c r="EY173">
        <v>0</v>
      </c>
      <c r="EZ173">
        <v>0</v>
      </c>
      <c r="FQ173">
        <v>0</v>
      </c>
      <c r="FR173">
        <f t="shared" si="109"/>
        <v>0</v>
      </c>
      <c r="FS173">
        <v>0</v>
      </c>
      <c r="FX173">
        <v>140</v>
      </c>
      <c r="FY173">
        <v>57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0</v>
      </c>
    </row>
    <row r="174" spans="1:194" ht="12.75">
      <c r="A174">
        <v>18</v>
      </c>
      <c r="B174">
        <v>1</v>
      </c>
      <c r="C174">
        <v>46</v>
      </c>
      <c r="E174" t="s">
        <v>377</v>
      </c>
      <c r="F174" t="s">
        <v>378</v>
      </c>
      <c r="G174" t="s">
        <v>379</v>
      </c>
      <c r="H174" t="s">
        <v>34</v>
      </c>
      <c r="I174">
        <f>I173*J174</f>
        <v>0.0648</v>
      </c>
      <c r="J174">
        <v>161.99999999999997</v>
      </c>
      <c r="O174">
        <f t="shared" si="86"/>
        <v>191.06</v>
      </c>
      <c r="P174">
        <f t="shared" si="87"/>
        <v>191.06</v>
      </c>
      <c r="Q174">
        <f t="shared" si="88"/>
        <v>0</v>
      </c>
      <c r="R174">
        <f t="shared" si="89"/>
        <v>0</v>
      </c>
      <c r="S174">
        <f t="shared" si="90"/>
        <v>0</v>
      </c>
      <c r="T174">
        <f t="shared" si="91"/>
        <v>0</v>
      </c>
      <c r="U174">
        <f t="shared" si="92"/>
        <v>0</v>
      </c>
      <c r="V174">
        <f t="shared" si="93"/>
        <v>0</v>
      </c>
      <c r="W174">
        <f t="shared" si="94"/>
        <v>0</v>
      </c>
      <c r="X174">
        <f t="shared" si="95"/>
        <v>0</v>
      </c>
      <c r="Y174">
        <f t="shared" si="96"/>
        <v>0</v>
      </c>
      <c r="AA174">
        <v>0</v>
      </c>
      <c r="AB174">
        <f t="shared" si="97"/>
        <v>517.14</v>
      </c>
      <c r="AC174">
        <f>AL174</f>
        <v>517.14</v>
      </c>
      <c r="AD174">
        <f>((AM174-AN174)+AE174)</f>
        <v>0</v>
      </c>
      <c r="AE174">
        <f aca="true" t="shared" si="120" ref="AE174:AJ174">AN174</f>
        <v>0</v>
      </c>
      <c r="AF174">
        <f t="shared" si="120"/>
        <v>0</v>
      </c>
      <c r="AG174">
        <f t="shared" si="120"/>
        <v>0</v>
      </c>
      <c r="AH174">
        <f t="shared" si="120"/>
        <v>0</v>
      </c>
      <c r="AI174">
        <f t="shared" si="120"/>
        <v>0</v>
      </c>
      <c r="AJ174">
        <f t="shared" si="120"/>
        <v>0</v>
      </c>
      <c r="AK174">
        <v>517.14</v>
      </c>
      <c r="AL174">
        <v>517.14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1.002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5.69</v>
      </c>
      <c r="BH174">
        <v>3</v>
      </c>
      <c r="BI174">
        <v>1</v>
      </c>
      <c r="BJ174" t="s">
        <v>380</v>
      </c>
      <c r="BM174">
        <v>152</v>
      </c>
      <c r="BN174">
        <v>0</v>
      </c>
      <c r="BO174" t="s">
        <v>378</v>
      </c>
      <c r="BP174">
        <v>1</v>
      </c>
      <c r="BQ174">
        <v>30</v>
      </c>
      <c r="BR174">
        <v>0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Z174">
        <v>0</v>
      </c>
      <c r="CA174">
        <v>0</v>
      </c>
      <c r="CF174">
        <v>0</v>
      </c>
      <c r="CG174">
        <v>0</v>
      </c>
      <c r="CM174">
        <v>0</v>
      </c>
      <c r="CO174">
        <v>0</v>
      </c>
      <c r="CP174">
        <f t="shared" si="98"/>
        <v>191.06</v>
      </c>
      <c r="CQ174">
        <f t="shared" si="99"/>
        <v>2948.4116532</v>
      </c>
      <c r="CR174">
        <f t="shared" si="100"/>
        <v>0</v>
      </c>
      <c r="CS174">
        <f t="shared" si="101"/>
        <v>0</v>
      </c>
      <c r="CT174">
        <f t="shared" si="102"/>
        <v>0</v>
      </c>
      <c r="CU174">
        <f t="shared" si="103"/>
        <v>0</v>
      </c>
      <c r="CV174">
        <f t="shared" si="104"/>
        <v>0</v>
      </c>
      <c r="CW174">
        <f t="shared" si="105"/>
        <v>0</v>
      </c>
      <c r="CX174">
        <f t="shared" si="106"/>
        <v>0</v>
      </c>
      <c r="CY174">
        <f t="shared" si="107"/>
        <v>0</v>
      </c>
      <c r="CZ174">
        <f t="shared" si="108"/>
        <v>0</v>
      </c>
      <c r="DN174">
        <v>161</v>
      </c>
      <c r="DO174">
        <v>107</v>
      </c>
      <c r="DP174">
        <v>1.047</v>
      </c>
      <c r="DQ174">
        <v>1.002</v>
      </c>
      <c r="DR174">
        <v>5.69</v>
      </c>
      <c r="DS174">
        <v>1</v>
      </c>
      <c r="DT174">
        <v>1</v>
      </c>
      <c r="DU174">
        <v>1007</v>
      </c>
      <c r="DV174" t="s">
        <v>34</v>
      </c>
      <c r="DW174" t="s">
        <v>34</v>
      </c>
      <c r="DX174">
        <v>1</v>
      </c>
      <c r="EE174">
        <v>18683706</v>
      </c>
      <c r="EF174">
        <v>30</v>
      </c>
      <c r="EG174" t="s">
        <v>44</v>
      </c>
      <c r="EH174">
        <v>0</v>
      </c>
      <c r="EJ174">
        <v>1</v>
      </c>
      <c r="EK174">
        <v>152</v>
      </c>
      <c r="EL174" t="s">
        <v>375</v>
      </c>
      <c r="EM174" t="s">
        <v>376</v>
      </c>
      <c r="EQ174">
        <v>0</v>
      </c>
      <c r="ER174">
        <v>517.14</v>
      </c>
      <c r="ES174">
        <v>517.14</v>
      </c>
      <c r="ET174">
        <v>0</v>
      </c>
      <c r="EU174">
        <v>0</v>
      </c>
      <c r="EV174">
        <v>0</v>
      </c>
      <c r="EW174">
        <v>0</v>
      </c>
      <c r="EX174">
        <v>0</v>
      </c>
      <c r="EZ174">
        <v>0</v>
      </c>
      <c r="FQ174">
        <v>0</v>
      </c>
      <c r="FR174">
        <f t="shared" si="109"/>
        <v>0</v>
      </c>
      <c r="FS174">
        <v>0</v>
      </c>
      <c r="FX174">
        <v>0</v>
      </c>
      <c r="FY174">
        <v>0</v>
      </c>
      <c r="GA174">
        <v>517.14</v>
      </c>
      <c r="GB174">
        <v>517.14</v>
      </c>
      <c r="GC174">
        <v>0</v>
      </c>
      <c r="GD174">
        <v>0</v>
      </c>
      <c r="GE174">
        <v>0</v>
      </c>
      <c r="GF174">
        <v>517.14</v>
      </c>
      <c r="GG174">
        <v>517.14</v>
      </c>
      <c r="GH174">
        <v>0</v>
      </c>
      <c r="GI174">
        <v>0</v>
      </c>
      <c r="GJ174">
        <v>0</v>
      </c>
      <c r="GK174">
        <v>0</v>
      </c>
      <c r="GL174">
        <v>0</v>
      </c>
    </row>
    <row r="175" spans="1:194" ht="12.75">
      <c r="A175">
        <v>17</v>
      </c>
      <c r="B175">
        <v>1</v>
      </c>
      <c r="C175">
        <f>ROW(SmtRes!A50)</f>
        <v>50</v>
      </c>
      <c r="D175">
        <f>ROW(EtalonRes!A51)</f>
        <v>51</v>
      </c>
      <c r="E175" t="s">
        <v>381</v>
      </c>
      <c r="F175" t="s">
        <v>382</v>
      </c>
      <c r="G175" t="s">
        <v>383</v>
      </c>
      <c r="H175" t="s">
        <v>373</v>
      </c>
      <c r="I175">
        <v>-0.0004</v>
      </c>
      <c r="J175">
        <v>0</v>
      </c>
      <c r="O175">
        <f t="shared" si="86"/>
        <v>-1.89</v>
      </c>
      <c r="P175">
        <f t="shared" si="87"/>
        <v>-0.39</v>
      </c>
      <c r="Q175">
        <f t="shared" si="88"/>
        <v>0</v>
      </c>
      <c r="R175">
        <f t="shared" si="89"/>
        <v>0</v>
      </c>
      <c r="S175">
        <f t="shared" si="90"/>
        <v>-1.5</v>
      </c>
      <c r="T175">
        <f t="shared" si="91"/>
        <v>0</v>
      </c>
      <c r="U175">
        <f t="shared" si="92"/>
        <v>-0.009959901599999998</v>
      </c>
      <c r="V175">
        <f t="shared" si="93"/>
        <v>0</v>
      </c>
      <c r="W175">
        <f t="shared" si="94"/>
        <v>0</v>
      </c>
      <c r="X175">
        <f t="shared" si="95"/>
        <v>-2.1</v>
      </c>
      <c r="Y175">
        <f t="shared" si="96"/>
        <v>-0.86</v>
      </c>
      <c r="AA175">
        <v>0</v>
      </c>
      <c r="AB175">
        <f t="shared" si="97"/>
        <v>507.17999999999995</v>
      </c>
      <c r="AC175">
        <f>((ES175*4))</f>
        <v>234.4</v>
      </c>
      <c r="AD175">
        <f>(((((ET175*4)*1.15))-(((EU175*4)*1.15)))+AE175)</f>
        <v>0</v>
      </c>
      <c r="AE175">
        <f>(((EU175*4)*1.15))</f>
        <v>0</v>
      </c>
      <c r="AF175">
        <f>(((EV175*4)*1.15))</f>
        <v>272.78</v>
      </c>
      <c r="AG175">
        <f>(AP175)</f>
        <v>0</v>
      </c>
      <c r="AH175">
        <f>(((EW175*4)*1.15))</f>
        <v>23.781999999999996</v>
      </c>
      <c r="AI175">
        <f>(((EX175*4)*1.15))</f>
        <v>0</v>
      </c>
      <c r="AJ175">
        <f>(AS175)</f>
        <v>0</v>
      </c>
      <c r="AK175">
        <v>117.9</v>
      </c>
      <c r="AL175">
        <v>58.6</v>
      </c>
      <c r="AM175">
        <v>0</v>
      </c>
      <c r="AN175">
        <v>0</v>
      </c>
      <c r="AO175">
        <v>59.3</v>
      </c>
      <c r="AP175">
        <v>0</v>
      </c>
      <c r="AQ175">
        <v>5.17</v>
      </c>
      <c r="AR175">
        <v>0</v>
      </c>
      <c r="AS175">
        <v>0</v>
      </c>
      <c r="AT175">
        <v>140</v>
      </c>
      <c r="AU175">
        <v>57</v>
      </c>
      <c r="AV175">
        <v>1.047</v>
      </c>
      <c r="AW175">
        <v>1.002</v>
      </c>
      <c r="AX175">
        <v>1</v>
      </c>
      <c r="AY175">
        <v>13.09</v>
      </c>
      <c r="AZ175">
        <v>13.09</v>
      </c>
      <c r="BA175">
        <v>13.09</v>
      </c>
      <c r="BB175">
        <v>1</v>
      </c>
      <c r="BC175">
        <v>4.19</v>
      </c>
      <c r="BH175">
        <v>0</v>
      </c>
      <c r="BI175">
        <v>1</v>
      </c>
      <c r="BJ175" t="s">
        <v>384</v>
      </c>
      <c r="BM175">
        <v>152</v>
      </c>
      <c r="BN175">
        <v>0</v>
      </c>
      <c r="BO175" t="s">
        <v>382</v>
      </c>
      <c r="BP175">
        <v>1</v>
      </c>
      <c r="BQ175">
        <v>30</v>
      </c>
      <c r="BR175">
        <v>0</v>
      </c>
      <c r="BS175">
        <v>13.09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140</v>
      </c>
      <c r="CA175">
        <v>57</v>
      </c>
      <c r="CF175">
        <v>0</v>
      </c>
      <c r="CG175">
        <v>0</v>
      </c>
      <c r="CM175">
        <v>0</v>
      </c>
      <c r="CN175" t="s">
        <v>293</v>
      </c>
      <c r="CO175">
        <v>0</v>
      </c>
      <c r="CP175">
        <f t="shared" si="98"/>
        <v>-1.8900000000000001</v>
      </c>
      <c r="CQ175">
        <f t="shared" si="99"/>
        <v>984.100272</v>
      </c>
      <c r="CR175">
        <f t="shared" si="100"/>
        <v>0</v>
      </c>
      <c r="CS175">
        <f t="shared" si="101"/>
        <v>0</v>
      </c>
      <c r="CT175">
        <f t="shared" si="102"/>
        <v>3738.5126393999994</v>
      </c>
      <c r="CU175">
        <f t="shared" si="103"/>
        <v>0</v>
      </c>
      <c r="CV175">
        <f t="shared" si="104"/>
        <v>24.899753999999994</v>
      </c>
      <c r="CW175">
        <f t="shared" si="105"/>
        <v>0</v>
      </c>
      <c r="CX175">
        <f t="shared" si="106"/>
        <v>0</v>
      </c>
      <c r="CY175">
        <f t="shared" si="107"/>
        <v>-2.0999999999999996</v>
      </c>
      <c r="CZ175">
        <f t="shared" si="108"/>
        <v>-0.855</v>
      </c>
      <c r="DD175" t="s">
        <v>385</v>
      </c>
      <c r="DE175" t="s">
        <v>386</v>
      </c>
      <c r="DF175" t="s">
        <v>386</v>
      </c>
      <c r="DG175" t="s">
        <v>386</v>
      </c>
      <c r="DI175" t="s">
        <v>386</v>
      </c>
      <c r="DJ175" t="s">
        <v>386</v>
      </c>
      <c r="DN175">
        <v>161</v>
      </c>
      <c r="DO175">
        <v>107</v>
      </c>
      <c r="DP175">
        <v>1.047</v>
      </c>
      <c r="DQ175">
        <v>1.002</v>
      </c>
      <c r="DR175">
        <v>4.19</v>
      </c>
      <c r="DS175">
        <v>1</v>
      </c>
      <c r="DT175">
        <v>13.09</v>
      </c>
      <c r="DU175">
        <v>1005</v>
      </c>
      <c r="DV175" t="s">
        <v>373</v>
      </c>
      <c r="DW175" t="s">
        <v>373</v>
      </c>
      <c r="DX175">
        <v>1000</v>
      </c>
      <c r="EE175">
        <v>18683706</v>
      </c>
      <c r="EF175">
        <v>30</v>
      </c>
      <c r="EG175" t="s">
        <v>44</v>
      </c>
      <c r="EH175">
        <v>0</v>
      </c>
      <c r="EJ175">
        <v>1</v>
      </c>
      <c r="EK175">
        <v>152</v>
      </c>
      <c r="EL175" t="s">
        <v>375</v>
      </c>
      <c r="EM175" t="s">
        <v>376</v>
      </c>
      <c r="EO175" t="s">
        <v>297</v>
      </c>
      <c r="EQ175">
        <v>64</v>
      </c>
      <c r="ER175">
        <v>117.9</v>
      </c>
      <c r="ES175">
        <v>58.6</v>
      </c>
      <c r="ET175">
        <v>0</v>
      </c>
      <c r="EU175">
        <v>0</v>
      </c>
      <c r="EV175">
        <v>59.3</v>
      </c>
      <c r="EW175">
        <v>5.17</v>
      </c>
      <c r="EX175">
        <v>0</v>
      </c>
      <c r="EY175">
        <v>0</v>
      </c>
      <c r="EZ175">
        <v>0</v>
      </c>
      <c r="FQ175">
        <v>0</v>
      </c>
      <c r="FR175">
        <f t="shared" si="109"/>
        <v>0</v>
      </c>
      <c r="FS175">
        <v>0</v>
      </c>
      <c r="FX175">
        <v>140</v>
      </c>
      <c r="FY175">
        <v>57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</row>
    <row r="176" spans="1:194" ht="12.75">
      <c r="A176">
        <v>18</v>
      </c>
      <c r="B176">
        <v>1</v>
      </c>
      <c r="C176">
        <v>49</v>
      </c>
      <c r="E176" t="s">
        <v>387</v>
      </c>
      <c r="F176" t="s">
        <v>378</v>
      </c>
      <c r="G176" t="s">
        <v>379</v>
      </c>
      <c r="H176" t="s">
        <v>34</v>
      </c>
      <c r="I176">
        <f>I175*J176</f>
        <v>-0.00408</v>
      </c>
      <c r="J176">
        <v>10.200000000000001</v>
      </c>
      <c r="O176">
        <f t="shared" si="86"/>
        <v>-48.12</v>
      </c>
      <c r="P176">
        <f t="shared" si="87"/>
        <v>-48.12</v>
      </c>
      <c r="Q176">
        <f t="shared" si="88"/>
        <v>0</v>
      </c>
      <c r="R176">
        <f t="shared" si="89"/>
        <v>0</v>
      </c>
      <c r="S176">
        <f t="shared" si="90"/>
        <v>0</v>
      </c>
      <c r="T176">
        <f t="shared" si="91"/>
        <v>0</v>
      </c>
      <c r="U176">
        <f t="shared" si="92"/>
        <v>0</v>
      </c>
      <c r="V176">
        <f t="shared" si="93"/>
        <v>0</v>
      </c>
      <c r="W176">
        <f t="shared" si="94"/>
        <v>0</v>
      </c>
      <c r="X176">
        <f t="shared" si="95"/>
        <v>0</v>
      </c>
      <c r="Y176">
        <f t="shared" si="96"/>
        <v>0</v>
      </c>
      <c r="AA176">
        <v>0</v>
      </c>
      <c r="AB176">
        <f t="shared" si="97"/>
        <v>2068.56</v>
      </c>
      <c r="AC176">
        <f>(AL176*4)</f>
        <v>2068.56</v>
      </c>
      <c r="AD176">
        <f>((AM176-AN176)+AE176)</f>
        <v>0</v>
      </c>
      <c r="AE176">
        <f aca="true" t="shared" si="121" ref="AE176:AJ176">AN176</f>
        <v>0</v>
      </c>
      <c r="AF176">
        <f t="shared" si="121"/>
        <v>0</v>
      </c>
      <c r="AG176">
        <f t="shared" si="121"/>
        <v>0</v>
      </c>
      <c r="AH176">
        <f t="shared" si="121"/>
        <v>0</v>
      </c>
      <c r="AI176">
        <f t="shared" si="121"/>
        <v>0</v>
      </c>
      <c r="AJ176">
        <f t="shared" si="121"/>
        <v>0</v>
      </c>
      <c r="AK176">
        <v>517.14</v>
      </c>
      <c r="AL176">
        <v>517.14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1.002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5.69</v>
      </c>
      <c r="BH176">
        <v>3</v>
      </c>
      <c r="BI176">
        <v>1</v>
      </c>
      <c r="BJ176" t="s">
        <v>380</v>
      </c>
      <c r="BM176">
        <v>152</v>
      </c>
      <c r="BN176">
        <v>0</v>
      </c>
      <c r="BO176" t="s">
        <v>378</v>
      </c>
      <c r="BP176">
        <v>1</v>
      </c>
      <c r="BQ176">
        <v>30</v>
      </c>
      <c r="BR176">
        <v>0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Z176">
        <v>0</v>
      </c>
      <c r="CA176">
        <v>0</v>
      </c>
      <c r="CF176">
        <v>0</v>
      </c>
      <c r="CG176">
        <v>0</v>
      </c>
      <c r="CM176">
        <v>0</v>
      </c>
      <c r="CO176">
        <v>0</v>
      </c>
      <c r="CP176">
        <f t="shared" si="98"/>
        <v>-48.12</v>
      </c>
      <c r="CQ176">
        <f t="shared" si="99"/>
        <v>11793.6466128</v>
      </c>
      <c r="CR176">
        <f t="shared" si="100"/>
        <v>0</v>
      </c>
      <c r="CS176">
        <f t="shared" si="101"/>
        <v>0</v>
      </c>
      <c r="CT176">
        <f t="shared" si="102"/>
        <v>0</v>
      </c>
      <c r="CU176">
        <f t="shared" si="103"/>
        <v>0</v>
      </c>
      <c r="CV176">
        <f t="shared" si="104"/>
        <v>0</v>
      </c>
      <c r="CW176">
        <f t="shared" si="105"/>
        <v>0</v>
      </c>
      <c r="CX176">
        <f t="shared" si="106"/>
        <v>0</v>
      </c>
      <c r="CY176">
        <f t="shared" si="107"/>
        <v>0</v>
      </c>
      <c r="CZ176">
        <f t="shared" si="108"/>
        <v>0</v>
      </c>
      <c r="DD176" t="s">
        <v>385</v>
      </c>
      <c r="DN176">
        <v>161</v>
      </c>
      <c r="DO176">
        <v>107</v>
      </c>
      <c r="DP176">
        <v>1.047</v>
      </c>
      <c r="DQ176">
        <v>1.002</v>
      </c>
      <c r="DR176">
        <v>5.69</v>
      </c>
      <c r="DS176">
        <v>1</v>
      </c>
      <c r="DT176">
        <v>1</v>
      </c>
      <c r="DU176">
        <v>1007</v>
      </c>
      <c r="DV176" t="s">
        <v>34</v>
      </c>
      <c r="DW176" t="s">
        <v>34</v>
      </c>
      <c r="DX176">
        <v>1</v>
      </c>
      <c r="EE176">
        <v>18683706</v>
      </c>
      <c r="EF176">
        <v>30</v>
      </c>
      <c r="EG176" t="s">
        <v>44</v>
      </c>
      <c r="EH176">
        <v>0</v>
      </c>
      <c r="EJ176">
        <v>1</v>
      </c>
      <c r="EK176">
        <v>152</v>
      </c>
      <c r="EL176" t="s">
        <v>375</v>
      </c>
      <c r="EM176" t="s">
        <v>376</v>
      </c>
      <c r="EQ176">
        <v>0</v>
      </c>
      <c r="ER176">
        <v>517.14</v>
      </c>
      <c r="ES176">
        <v>517.14</v>
      </c>
      <c r="ET176">
        <v>0</v>
      </c>
      <c r="EU176">
        <v>0</v>
      </c>
      <c r="EV176">
        <v>0</v>
      </c>
      <c r="EW176">
        <v>0</v>
      </c>
      <c r="EX176">
        <v>0</v>
      </c>
      <c r="EZ176">
        <v>0</v>
      </c>
      <c r="FQ176">
        <v>0</v>
      </c>
      <c r="FR176">
        <f t="shared" si="109"/>
        <v>0</v>
      </c>
      <c r="FS176">
        <v>0</v>
      </c>
      <c r="FX176">
        <v>0</v>
      </c>
      <c r="FY176">
        <v>0</v>
      </c>
      <c r="GA176">
        <v>517.14</v>
      </c>
      <c r="GB176">
        <v>517.14</v>
      </c>
      <c r="GC176">
        <v>0</v>
      </c>
      <c r="GD176">
        <v>0</v>
      </c>
      <c r="GE176">
        <v>0</v>
      </c>
      <c r="GF176">
        <v>2068.56</v>
      </c>
      <c r="GG176">
        <v>2068.56</v>
      </c>
      <c r="GH176">
        <v>0</v>
      </c>
      <c r="GI176">
        <v>0</v>
      </c>
      <c r="GJ176">
        <v>0</v>
      </c>
      <c r="GK176">
        <v>0</v>
      </c>
      <c r="GL176">
        <v>0</v>
      </c>
    </row>
    <row r="177" spans="1:194" ht="12.75">
      <c r="A177">
        <v>17</v>
      </c>
      <c r="B177">
        <v>1</v>
      </c>
      <c r="C177">
        <f>ROW(SmtRes!A61)</f>
        <v>61</v>
      </c>
      <c r="D177">
        <f>ROW(EtalonRes!A62)</f>
        <v>62</v>
      </c>
      <c r="E177" t="s">
        <v>388</v>
      </c>
      <c r="F177" t="s">
        <v>389</v>
      </c>
      <c r="G177" t="s">
        <v>390</v>
      </c>
      <c r="H177" t="s">
        <v>391</v>
      </c>
      <c r="I177">
        <v>0.014</v>
      </c>
      <c r="J177">
        <v>0</v>
      </c>
      <c r="O177">
        <f t="shared" si="86"/>
        <v>70.78</v>
      </c>
      <c r="P177">
        <f t="shared" si="87"/>
        <v>6.27</v>
      </c>
      <c r="Q177">
        <f t="shared" si="88"/>
        <v>53</v>
      </c>
      <c r="R177">
        <f t="shared" si="89"/>
        <v>16.82</v>
      </c>
      <c r="S177">
        <f t="shared" si="90"/>
        <v>11.51</v>
      </c>
      <c r="T177">
        <f t="shared" si="91"/>
        <v>0</v>
      </c>
      <c r="U177">
        <f t="shared" si="92"/>
        <v>0.072315243</v>
      </c>
      <c r="V177">
        <f t="shared" si="93"/>
        <v>0</v>
      </c>
      <c r="W177">
        <f t="shared" si="94"/>
        <v>0</v>
      </c>
      <c r="X177">
        <f t="shared" si="95"/>
        <v>16.11</v>
      </c>
      <c r="Y177">
        <f t="shared" si="96"/>
        <v>6.56</v>
      </c>
      <c r="AA177">
        <v>0</v>
      </c>
      <c r="AB177">
        <f t="shared" si="97"/>
        <v>599.94</v>
      </c>
      <c r="AC177">
        <f>(ES177)</f>
        <v>57.83</v>
      </c>
      <c r="AD177">
        <f>((((ET177*1.15))-((EU177*1.15)))+AE177)</f>
        <v>482.1145</v>
      </c>
      <c r="AE177">
        <f>((EU177*1.15))</f>
        <v>87.65299999999999</v>
      </c>
      <c r="AF177">
        <f>((EV177*1.15))</f>
        <v>59.9955</v>
      </c>
      <c r="AG177">
        <f>(AP177)</f>
        <v>0</v>
      </c>
      <c r="AH177">
        <f>((EW177*1.15))</f>
        <v>4.9334999999999996</v>
      </c>
      <c r="AI177">
        <f>((EX177*1.15))</f>
        <v>0</v>
      </c>
      <c r="AJ177">
        <f>(AS177)</f>
        <v>0</v>
      </c>
      <c r="AK177">
        <v>529.23</v>
      </c>
      <c r="AL177">
        <v>57.83</v>
      </c>
      <c r="AM177">
        <v>419.23</v>
      </c>
      <c r="AN177">
        <v>76.22</v>
      </c>
      <c r="AO177">
        <v>52.17</v>
      </c>
      <c r="AP177">
        <v>0</v>
      </c>
      <c r="AQ177">
        <v>4.29</v>
      </c>
      <c r="AR177">
        <v>0</v>
      </c>
      <c r="AS177">
        <v>0</v>
      </c>
      <c r="AT177">
        <v>140</v>
      </c>
      <c r="AU177">
        <v>57</v>
      </c>
      <c r="AV177">
        <v>1.047</v>
      </c>
      <c r="AW177">
        <v>1</v>
      </c>
      <c r="AX177">
        <v>1</v>
      </c>
      <c r="AY177">
        <v>13.09</v>
      </c>
      <c r="AZ177">
        <v>13.09</v>
      </c>
      <c r="BA177">
        <v>13.09</v>
      </c>
      <c r="BB177">
        <v>7.5</v>
      </c>
      <c r="BC177">
        <v>7.75</v>
      </c>
      <c r="BH177">
        <v>0</v>
      </c>
      <c r="BI177">
        <v>1</v>
      </c>
      <c r="BJ177" t="s">
        <v>392</v>
      </c>
      <c r="BM177">
        <v>158</v>
      </c>
      <c r="BN177">
        <v>0</v>
      </c>
      <c r="BO177" t="s">
        <v>389</v>
      </c>
      <c r="BP177">
        <v>1</v>
      </c>
      <c r="BQ177">
        <v>30</v>
      </c>
      <c r="BR177">
        <v>0</v>
      </c>
      <c r="BS177">
        <v>13.09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140</v>
      </c>
      <c r="CA177">
        <v>57</v>
      </c>
      <c r="CF177">
        <v>0</v>
      </c>
      <c r="CG177">
        <v>0</v>
      </c>
      <c r="CM177">
        <v>0</v>
      </c>
      <c r="CN177" t="s">
        <v>293</v>
      </c>
      <c r="CO177">
        <v>0</v>
      </c>
      <c r="CP177">
        <f t="shared" si="98"/>
        <v>70.78</v>
      </c>
      <c r="CQ177">
        <f t="shared" si="99"/>
        <v>448.1825</v>
      </c>
      <c r="CR177">
        <f t="shared" si="100"/>
        <v>3785.80411125</v>
      </c>
      <c r="CS177">
        <f t="shared" si="101"/>
        <v>1201.3045251899998</v>
      </c>
      <c r="CT177">
        <f t="shared" si="102"/>
        <v>822.252126465</v>
      </c>
      <c r="CU177">
        <f t="shared" si="103"/>
        <v>0</v>
      </c>
      <c r="CV177">
        <f t="shared" si="104"/>
        <v>5.1653744999999995</v>
      </c>
      <c r="CW177">
        <f t="shared" si="105"/>
        <v>0</v>
      </c>
      <c r="CX177">
        <f t="shared" si="106"/>
        <v>0</v>
      </c>
      <c r="CY177">
        <f t="shared" si="107"/>
        <v>16.113999999999997</v>
      </c>
      <c r="CZ177">
        <f t="shared" si="108"/>
        <v>6.5607</v>
      </c>
      <c r="DE177" t="s">
        <v>294</v>
      </c>
      <c r="DF177" t="s">
        <v>294</v>
      </c>
      <c r="DG177" t="s">
        <v>294</v>
      </c>
      <c r="DI177" t="s">
        <v>294</v>
      </c>
      <c r="DJ177" t="s">
        <v>294</v>
      </c>
      <c r="DN177">
        <v>161</v>
      </c>
      <c r="DO177">
        <v>107</v>
      </c>
      <c r="DP177">
        <v>1.047</v>
      </c>
      <c r="DQ177">
        <v>1</v>
      </c>
      <c r="DR177">
        <v>7.75</v>
      </c>
      <c r="DS177">
        <v>1</v>
      </c>
      <c r="DT177">
        <v>13.09</v>
      </c>
      <c r="DU177">
        <v>1005</v>
      </c>
      <c r="DV177" t="s">
        <v>391</v>
      </c>
      <c r="DW177" t="s">
        <v>391</v>
      </c>
      <c r="DX177">
        <v>100</v>
      </c>
      <c r="EE177">
        <v>18683712</v>
      </c>
      <c r="EF177">
        <v>30</v>
      </c>
      <c r="EG177" t="s">
        <v>44</v>
      </c>
      <c r="EH177">
        <v>0</v>
      </c>
      <c r="EJ177">
        <v>1</v>
      </c>
      <c r="EK177">
        <v>158</v>
      </c>
      <c r="EL177" t="s">
        <v>393</v>
      </c>
      <c r="EM177" t="s">
        <v>394</v>
      </c>
      <c r="EO177" t="s">
        <v>297</v>
      </c>
      <c r="EQ177">
        <v>64</v>
      </c>
      <c r="ER177">
        <v>529.23</v>
      </c>
      <c r="ES177">
        <v>57.83</v>
      </c>
      <c r="ET177">
        <v>419.23</v>
      </c>
      <c r="EU177">
        <v>76.22</v>
      </c>
      <c r="EV177">
        <v>52.17</v>
      </c>
      <c r="EW177">
        <v>4.29</v>
      </c>
      <c r="EX177">
        <v>0</v>
      </c>
      <c r="EY177">
        <v>0</v>
      </c>
      <c r="EZ177">
        <v>0</v>
      </c>
      <c r="FQ177">
        <v>0</v>
      </c>
      <c r="FR177">
        <f t="shared" si="109"/>
        <v>0</v>
      </c>
      <c r="FS177">
        <v>0</v>
      </c>
      <c r="FX177">
        <v>140</v>
      </c>
      <c r="FY177">
        <v>57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</row>
    <row r="178" spans="1:194" ht="12.75">
      <c r="A178">
        <v>18</v>
      </c>
      <c r="B178">
        <v>1</v>
      </c>
      <c r="C178">
        <v>61</v>
      </c>
      <c r="E178" t="s">
        <v>395</v>
      </c>
      <c r="F178" t="s">
        <v>396</v>
      </c>
      <c r="G178" t="s">
        <v>397</v>
      </c>
      <c r="H178" t="s">
        <v>120</v>
      </c>
      <c r="I178">
        <f>I177*J178</f>
        <v>0.13412000000000002</v>
      </c>
      <c r="J178">
        <v>9.580000000000002</v>
      </c>
      <c r="O178">
        <f t="shared" si="86"/>
        <v>289.1</v>
      </c>
      <c r="P178">
        <f t="shared" si="87"/>
        <v>289.1</v>
      </c>
      <c r="Q178">
        <f t="shared" si="88"/>
        <v>0</v>
      </c>
      <c r="R178">
        <f t="shared" si="89"/>
        <v>0</v>
      </c>
      <c r="S178">
        <f t="shared" si="90"/>
        <v>0</v>
      </c>
      <c r="T178">
        <f t="shared" si="91"/>
        <v>0</v>
      </c>
      <c r="U178">
        <f t="shared" si="92"/>
        <v>0</v>
      </c>
      <c r="V178">
        <f t="shared" si="93"/>
        <v>0</v>
      </c>
      <c r="W178">
        <f t="shared" si="94"/>
        <v>0</v>
      </c>
      <c r="X178">
        <f t="shared" si="95"/>
        <v>0</v>
      </c>
      <c r="Y178">
        <f t="shared" si="96"/>
        <v>0</v>
      </c>
      <c r="AA178">
        <v>0</v>
      </c>
      <c r="AB178">
        <f t="shared" si="97"/>
        <v>305.75</v>
      </c>
      <c r="AC178">
        <f>AL178</f>
        <v>305.75</v>
      </c>
      <c r="AD178">
        <f>((AM178-AN178)+AE178)</f>
        <v>0</v>
      </c>
      <c r="AE178">
        <f aca="true" t="shared" si="122" ref="AE178:AJ178">AN178</f>
        <v>0</v>
      </c>
      <c r="AF178">
        <f t="shared" si="122"/>
        <v>0</v>
      </c>
      <c r="AG178">
        <f t="shared" si="122"/>
        <v>0</v>
      </c>
      <c r="AH178">
        <f t="shared" si="122"/>
        <v>0</v>
      </c>
      <c r="AI178">
        <f t="shared" si="122"/>
        <v>0</v>
      </c>
      <c r="AJ178">
        <f t="shared" si="122"/>
        <v>0</v>
      </c>
      <c r="AK178">
        <v>305.75</v>
      </c>
      <c r="AL178">
        <v>305.75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7.05</v>
      </c>
      <c r="BH178">
        <v>3</v>
      </c>
      <c r="BI178">
        <v>1</v>
      </c>
      <c r="BJ178" t="s">
        <v>398</v>
      </c>
      <c r="BM178">
        <v>158</v>
      </c>
      <c r="BN178">
        <v>0</v>
      </c>
      <c r="BO178" t="s">
        <v>396</v>
      </c>
      <c r="BP178">
        <v>1</v>
      </c>
      <c r="BQ178">
        <v>30</v>
      </c>
      <c r="BR178">
        <v>0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Z178">
        <v>0</v>
      </c>
      <c r="CA178">
        <v>0</v>
      </c>
      <c r="CF178">
        <v>0</v>
      </c>
      <c r="CG178">
        <v>0</v>
      </c>
      <c r="CM178">
        <v>0</v>
      </c>
      <c r="CO178">
        <v>0</v>
      </c>
      <c r="CP178">
        <f t="shared" si="98"/>
        <v>289.1</v>
      </c>
      <c r="CQ178">
        <f t="shared" si="99"/>
        <v>2155.5375</v>
      </c>
      <c r="CR178">
        <f t="shared" si="100"/>
        <v>0</v>
      </c>
      <c r="CS178">
        <f t="shared" si="101"/>
        <v>0</v>
      </c>
      <c r="CT178">
        <f t="shared" si="102"/>
        <v>0</v>
      </c>
      <c r="CU178">
        <f t="shared" si="103"/>
        <v>0</v>
      </c>
      <c r="CV178">
        <f t="shared" si="104"/>
        <v>0</v>
      </c>
      <c r="CW178">
        <f t="shared" si="105"/>
        <v>0</v>
      </c>
      <c r="CX178">
        <f t="shared" si="106"/>
        <v>0</v>
      </c>
      <c r="CY178">
        <f t="shared" si="107"/>
        <v>0</v>
      </c>
      <c r="CZ178">
        <f t="shared" si="108"/>
        <v>0</v>
      </c>
      <c r="DN178">
        <v>161</v>
      </c>
      <c r="DO178">
        <v>107</v>
      </c>
      <c r="DP178">
        <v>1.047</v>
      </c>
      <c r="DQ178">
        <v>1</v>
      </c>
      <c r="DR178">
        <v>7.05</v>
      </c>
      <c r="DS178">
        <v>1</v>
      </c>
      <c r="DT178">
        <v>1</v>
      </c>
      <c r="DU178">
        <v>1009</v>
      </c>
      <c r="DV178" t="s">
        <v>120</v>
      </c>
      <c r="DW178" t="s">
        <v>120</v>
      </c>
      <c r="DX178">
        <v>1000</v>
      </c>
      <c r="EE178">
        <v>18683712</v>
      </c>
      <c r="EF178">
        <v>30</v>
      </c>
      <c r="EG178" t="s">
        <v>44</v>
      </c>
      <c r="EH178">
        <v>0</v>
      </c>
      <c r="EJ178">
        <v>1</v>
      </c>
      <c r="EK178">
        <v>158</v>
      </c>
      <c r="EL178" t="s">
        <v>393</v>
      </c>
      <c r="EM178" t="s">
        <v>394</v>
      </c>
      <c r="EQ178">
        <v>0</v>
      </c>
      <c r="ER178">
        <v>305.75</v>
      </c>
      <c r="ES178">
        <v>305.75</v>
      </c>
      <c r="ET178">
        <v>0</v>
      </c>
      <c r="EU178">
        <v>0</v>
      </c>
      <c r="EV178">
        <v>0</v>
      </c>
      <c r="EW178">
        <v>0</v>
      </c>
      <c r="EX178">
        <v>0</v>
      </c>
      <c r="EZ178">
        <v>0</v>
      </c>
      <c r="FQ178">
        <v>0</v>
      </c>
      <c r="FR178">
        <f t="shared" si="109"/>
        <v>0</v>
      </c>
      <c r="FS178">
        <v>0</v>
      </c>
      <c r="FX178">
        <v>0</v>
      </c>
      <c r="FY178">
        <v>0</v>
      </c>
      <c r="GA178">
        <v>305.75</v>
      </c>
      <c r="GB178">
        <v>305.75</v>
      </c>
      <c r="GC178">
        <v>0</v>
      </c>
      <c r="GD178">
        <v>0</v>
      </c>
      <c r="GE178">
        <v>0</v>
      </c>
      <c r="GF178">
        <v>305.75</v>
      </c>
      <c r="GG178">
        <v>305.75</v>
      </c>
      <c r="GH178">
        <v>0</v>
      </c>
      <c r="GI178">
        <v>0</v>
      </c>
      <c r="GJ178">
        <v>0</v>
      </c>
      <c r="GK178">
        <v>0</v>
      </c>
      <c r="GL178">
        <v>0</v>
      </c>
    </row>
    <row r="179" spans="1:194" ht="12.75">
      <c r="A179">
        <v>17</v>
      </c>
      <c r="B179">
        <v>1</v>
      </c>
      <c r="C179">
        <f>ROW(SmtRes!A65)</f>
        <v>65</v>
      </c>
      <c r="D179">
        <f>ROW(EtalonRes!A66)</f>
        <v>66</v>
      </c>
      <c r="E179" t="s">
        <v>399</v>
      </c>
      <c r="F179" t="s">
        <v>400</v>
      </c>
      <c r="G179" t="s">
        <v>401</v>
      </c>
      <c r="H179" t="s">
        <v>391</v>
      </c>
      <c r="I179">
        <v>0.014</v>
      </c>
      <c r="J179">
        <v>0</v>
      </c>
      <c r="O179">
        <f t="shared" si="86"/>
        <v>6.68</v>
      </c>
      <c r="P179">
        <f t="shared" si="87"/>
        <v>0</v>
      </c>
      <c r="Q179">
        <f t="shared" si="88"/>
        <v>3.62</v>
      </c>
      <c r="R179">
        <f t="shared" si="89"/>
        <v>1.58</v>
      </c>
      <c r="S179">
        <f t="shared" si="90"/>
        <v>3.06</v>
      </c>
      <c r="T179">
        <f t="shared" si="91"/>
        <v>0</v>
      </c>
      <c r="U179">
        <f t="shared" si="92"/>
        <v>0.017868101999999997</v>
      </c>
      <c r="V179">
        <f t="shared" si="93"/>
        <v>0</v>
      </c>
      <c r="W179">
        <f t="shared" si="94"/>
        <v>0</v>
      </c>
      <c r="X179">
        <f t="shared" si="95"/>
        <v>4.28</v>
      </c>
      <c r="Y179">
        <f t="shared" si="96"/>
        <v>1.74</v>
      </c>
      <c r="AA179">
        <v>0</v>
      </c>
      <c r="AB179">
        <f t="shared" si="97"/>
        <v>55.844</v>
      </c>
      <c r="AC179">
        <f>((ES179*2))</f>
        <v>0</v>
      </c>
      <c r="AD179">
        <f>(((((ET179*2)*1.15))-(((EU179*2)*1.15)))+AE179)</f>
        <v>39.905</v>
      </c>
      <c r="AE179">
        <f>(((EU179*2)*1.15))</f>
        <v>8.210999999999999</v>
      </c>
      <c r="AF179">
        <f>(((EV179*2)*1.15))</f>
        <v>15.938999999999998</v>
      </c>
      <c r="AG179">
        <f>(AP179)</f>
        <v>0</v>
      </c>
      <c r="AH179">
        <f>(((EW179*2)*1.15))</f>
        <v>1.2189999999999999</v>
      </c>
      <c r="AI179">
        <f>(((EX179*2)*1.15))</f>
        <v>0</v>
      </c>
      <c r="AJ179">
        <f>(AS179)</f>
        <v>0</v>
      </c>
      <c r="AK179">
        <v>24.28</v>
      </c>
      <c r="AL179">
        <v>0</v>
      </c>
      <c r="AM179">
        <v>17.35</v>
      </c>
      <c r="AN179">
        <v>3.57</v>
      </c>
      <c r="AO179">
        <v>6.93</v>
      </c>
      <c r="AP179">
        <v>0</v>
      </c>
      <c r="AQ179">
        <v>0.53</v>
      </c>
      <c r="AR179">
        <v>0</v>
      </c>
      <c r="AS179">
        <v>0</v>
      </c>
      <c r="AT179">
        <v>140</v>
      </c>
      <c r="AU179">
        <v>57</v>
      </c>
      <c r="AV179">
        <v>1.047</v>
      </c>
      <c r="AW179">
        <v>1</v>
      </c>
      <c r="AX179">
        <v>1</v>
      </c>
      <c r="AY179">
        <v>13.09</v>
      </c>
      <c r="AZ179">
        <v>13.09</v>
      </c>
      <c r="BA179">
        <v>13.09</v>
      </c>
      <c r="BB179">
        <v>6.19</v>
      </c>
      <c r="BC179">
        <v>1</v>
      </c>
      <c r="BH179">
        <v>0</v>
      </c>
      <c r="BI179">
        <v>1</v>
      </c>
      <c r="BJ179" t="s">
        <v>402</v>
      </c>
      <c r="BM179">
        <v>158</v>
      </c>
      <c r="BN179">
        <v>0</v>
      </c>
      <c r="BO179" t="s">
        <v>400</v>
      </c>
      <c r="BP179">
        <v>1</v>
      </c>
      <c r="BQ179">
        <v>30</v>
      </c>
      <c r="BR179">
        <v>0</v>
      </c>
      <c r="BS179">
        <v>13.09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140</v>
      </c>
      <c r="CA179">
        <v>57</v>
      </c>
      <c r="CF179">
        <v>0</v>
      </c>
      <c r="CG179">
        <v>0</v>
      </c>
      <c r="CM179">
        <v>0</v>
      </c>
      <c r="CN179" t="s">
        <v>293</v>
      </c>
      <c r="CO179">
        <v>0</v>
      </c>
      <c r="CP179">
        <f t="shared" si="98"/>
        <v>6.68</v>
      </c>
      <c r="CQ179">
        <f t="shared" si="99"/>
        <v>0</v>
      </c>
      <c r="CR179">
        <f t="shared" si="100"/>
        <v>258.62151165</v>
      </c>
      <c r="CS179">
        <f t="shared" si="101"/>
        <v>112.53364352999996</v>
      </c>
      <c r="CT179">
        <f t="shared" si="102"/>
        <v>218.44766096999996</v>
      </c>
      <c r="CU179">
        <f t="shared" si="103"/>
        <v>0</v>
      </c>
      <c r="CV179">
        <f t="shared" si="104"/>
        <v>1.2762929999999997</v>
      </c>
      <c r="CW179">
        <f t="shared" si="105"/>
        <v>0</v>
      </c>
      <c r="CX179">
        <f t="shared" si="106"/>
        <v>0</v>
      </c>
      <c r="CY179">
        <f t="shared" si="107"/>
        <v>4.284</v>
      </c>
      <c r="CZ179">
        <f t="shared" si="108"/>
        <v>1.7442</v>
      </c>
      <c r="DD179" t="s">
        <v>193</v>
      </c>
      <c r="DE179" t="s">
        <v>403</v>
      </c>
      <c r="DF179" t="s">
        <v>403</v>
      </c>
      <c r="DG179" t="s">
        <v>403</v>
      </c>
      <c r="DI179" t="s">
        <v>403</v>
      </c>
      <c r="DJ179" t="s">
        <v>403</v>
      </c>
      <c r="DN179">
        <v>161</v>
      </c>
      <c r="DO179">
        <v>107</v>
      </c>
      <c r="DP179">
        <v>1.047</v>
      </c>
      <c r="DQ179">
        <v>1</v>
      </c>
      <c r="DR179">
        <v>1</v>
      </c>
      <c r="DS179">
        <v>1</v>
      </c>
      <c r="DT179">
        <v>13.09</v>
      </c>
      <c r="DU179">
        <v>1005</v>
      </c>
      <c r="DV179" t="s">
        <v>391</v>
      </c>
      <c r="DW179" t="s">
        <v>391</v>
      </c>
      <c r="DX179">
        <v>100</v>
      </c>
      <c r="EE179">
        <v>18683712</v>
      </c>
      <c r="EF179">
        <v>30</v>
      </c>
      <c r="EG179" t="s">
        <v>44</v>
      </c>
      <c r="EH179">
        <v>0</v>
      </c>
      <c r="EJ179">
        <v>1</v>
      </c>
      <c r="EK179">
        <v>158</v>
      </c>
      <c r="EL179" t="s">
        <v>393</v>
      </c>
      <c r="EM179" t="s">
        <v>394</v>
      </c>
      <c r="EO179" t="s">
        <v>297</v>
      </c>
      <c r="EQ179">
        <v>64</v>
      </c>
      <c r="ER179">
        <v>24.28</v>
      </c>
      <c r="ES179">
        <v>0</v>
      </c>
      <c r="ET179">
        <v>17.35</v>
      </c>
      <c r="EU179">
        <v>3.57</v>
      </c>
      <c r="EV179">
        <v>6.93</v>
      </c>
      <c r="EW179">
        <v>0.53</v>
      </c>
      <c r="EX179">
        <v>0</v>
      </c>
      <c r="EY179">
        <v>0</v>
      </c>
      <c r="EZ179">
        <v>0</v>
      </c>
      <c r="FQ179">
        <v>0</v>
      </c>
      <c r="FR179">
        <f t="shared" si="109"/>
        <v>0</v>
      </c>
      <c r="FS179">
        <v>0</v>
      </c>
      <c r="FX179">
        <v>140</v>
      </c>
      <c r="FY179">
        <v>57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</row>
    <row r="180" spans="1:194" ht="12.75">
      <c r="A180">
        <v>18</v>
      </c>
      <c r="B180">
        <v>1</v>
      </c>
      <c r="C180">
        <v>65</v>
      </c>
      <c r="E180" t="s">
        <v>404</v>
      </c>
      <c r="F180" t="s">
        <v>396</v>
      </c>
      <c r="G180" t="s">
        <v>397</v>
      </c>
      <c r="H180" t="s">
        <v>120</v>
      </c>
      <c r="I180">
        <f>I179*J180</f>
        <v>0.0336</v>
      </c>
      <c r="J180">
        <v>2.4</v>
      </c>
      <c r="O180">
        <f t="shared" si="86"/>
        <v>144.85</v>
      </c>
      <c r="P180">
        <f t="shared" si="87"/>
        <v>144.85</v>
      </c>
      <c r="Q180">
        <f t="shared" si="88"/>
        <v>0</v>
      </c>
      <c r="R180">
        <f t="shared" si="89"/>
        <v>0</v>
      </c>
      <c r="S180">
        <f t="shared" si="90"/>
        <v>0</v>
      </c>
      <c r="T180">
        <f t="shared" si="91"/>
        <v>0</v>
      </c>
      <c r="U180">
        <f t="shared" si="92"/>
        <v>0</v>
      </c>
      <c r="V180">
        <f t="shared" si="93"/>
        <v>0</v>
      </c>
      <c r="W180">
        <f t="shared" si="94"/>
        <v>0</v>
      </c>
      <c r="X180">
        <f t="shared" si="95"/>
        <v>0</v>
      </c>
      <c r="Y180">
        <f t="shared" si="96"/>
        <v>0</v>
      </c>
      <c r="AA180">
        <v>0</v>
      </c>
      <c r="AB180">
        <f t="shared" si="97"/>
        <v>611.5</v>
      </c>
      <c r="AC180">
        <f>(AL180*2)</f>
        <v>611.5</v>
      </c>
      <c r="AD180">
        <f>((AM180-AN180)+AE180)</f>
        <v>0</v>
      </c>
      <c r="AE180">
        <f aca="true" t="shared" si="123" ref="AE180:AJ180">AN180</f>
        <v>0</v>
      </c>
      <c r="AF180">
        <f t="shared" si="123"/>
        <v>0</v>
      </c>
      <c r="AG180">
        <f t="shared" si="123"/>
        <v>0</v>
      </c>
      <c r="AH180">
        <f t="shared" si="123"/>
        <v>0</v>
      </c>
      <c r="AI180">
        <f t="shared" si="123"/>
        <v>0</v>
      </c>
      <c r="AJ180">
        <f t="shared" si="123"/>
        <v>0</v>
      </c>
      <c r="AK180">
        <v>305.75</v>
      </c>
      <c r="AL180">
        <v>305.75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1</v>
      </c>
      <c r="AX180">
        <v>1</v>
      </c>
      <c r="AY180">
        <v>1</v>
      </c>
      <c r="AZ180">
        <v>1</v>
      </c>
      <c r="BA180">
        <v>1</v>
      </c>
      <c r="BB180">
        <v>1</v>
      </c>
      <c r="BC180">
        <v>7.05</v>
      </c>
      <c r="BH180">
        <v>3</v>
      </c>
      <c r="BI180">
        <v>1</v>
      </c>
      <c r="BJ180" t="s">
        <v>398</v>
      </c>
      <c r="BM180">
        <v>158</v>
      </c>
      <c r="BN180">
        <v>0</v>
      </c>
      <c r="BO180" t="s">
        <v>396</v>
      </c>
      <c r="BP180">
        <v>1</v>
      </c>
      <c r="BQ180">
        <v>30</v>
      </c>
      <c r="BR180">
        <v>0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Z180">
        <v>0</v>
      </c>
      <c r="CA180">
        <v>0</v>
      </c>
      <c r="CF180">
        <v>0</v>
      </c>
      <c r="CG180">
        <v>0</v>
      </c>
      <c r="CM180">
        <v>0</v>
      </c>
      <c r="CO180">
        <v>0</v>
      </c>
      <c r="CP180">
        <f t="shared" si="98"/>
        <v>144.85</v>
      </c>
      <c r="CQ180">
        <f t="shared" si="99"/>
        <v>4311.075</v>
      </c>
      <c r="CR180">
        <f t="shared" si="100"/>
        <v>0</v>
      </c>
      <c r="CS180">
        <f t="shared" si="101"/>
        <v>0</v>
      </c>
      <c r="CT180">
        <f t="shared" si="102"/>
        <v>0</v>
      </c>
      <c r="CU180">
        <f t="shared" si="103"/>
        <v>0</v>
      </c>
      <c r="CV180">
        <f t="shared" si="104"/>
        <v>0</v>
      </c>
      <c r="CW180">
        <f t="shared" si="105"/>
        <v>0</v>
      </c>
      <c r="CX180">
        <f t="shared" si="106"/>
        <v>0</v>
      </c>
      <c r="CY180">
        <f t="shared" si="107"/>
        <v>0</v>
      </c>
      <c r="CZ180">
        <f t="shared" si="108"/>
        <v>0</v>
      </c>
      <c r="DD180" t="s">
        <v>193</v>
      </c>
      <c r="DN180">
        <v>161</v>
      </c>
      <c r="DO180">
        <v>107</v>
      </c>
      <c r="DP180">
        <v>1.047</v>
      </c>
      <c r="DQ180">
        <v>1</v>
      </c>
      <c r="DR180">
        <v>7.05</v>
      </c>
      <c r="DS180">
        <v>1</v>
      </c>
      <c r="DT180">
        <v>1</v>
      </c>
      <c r="DU180">
        <v>1009</v>
      </c>
      <c r="DV180" t="s">
        <v>120</v>
      </c>
      <c r="DW180" t="s">
        <v>120</v>
      </c>
      <c r="DX180">
        <v>1000</v>
      </c>
      <c r="EE180">
        <v>18683712</v>
      </c>
      <c r="EF180">
        <v>30</v>
      </c>
      <c r="EG180" t="s">
        <v>44</v>
      </c>
      <c r="EH180">
        <v>0</v>
      </c>
      <c r="EJ180">
        <v>1</v>
      </c>
      <c r="EK180">
        <v>158</v>
      </c>
      <c r="EL180" t="s">
        <v>393</v>
      </c>
      <c r="EM180" t="s">
        <v>394</v>
      </c>
      <c r="EQ180">
        <v>0</v>
      </c>
      <c r="ER180">
        <v>305.75</v>
      </c>
      <c r="ES180">
        <v>305.75</v>
      </c>
      <c r="ET180">
        <v>0</v>
      </c>
      <c r="EU180">
        <v>0</v>
      </c>
      <c r="EV180">
        <v>0</v>
      </c>
      <c r="EW180">
        <v>0</v>
      </c>
      <c r="EX180">
        <v>0</v>
      </c>
      <c r="EZ180">
        <v>0</v>
      </c>
      <c r="FQ180">
        <v>0</v>
      </c>
      <c r="FR180">
        <f t="shared" si="109"/>
        <v>0</v>
      </c>
      <c r="FS180">
        <v>0</v>
      </c>
      <c r="FX180">
        <v>0</v>
      </c>
      <c r="FY180">
        <v>0</v>
      </c>
      <c r="GA180">
        <v>305.75</v>
      </c>
      <c r="GB180">
        <v>305.75</v>
      </c>
      <c r="GC180">
        <v>0</v>
      </c>
      <c r="GD180">
        <v>0</v>
      </c>
      <c r="GE180">
        <v>0</v>
      </c>
      <c r="GF180">
        <v>611.5</v>
      </c>
      <c r="GG180">
        <v>611.5</v>
      </c>
      <c r="GH180">
        <v>0</v>
      </c>
      <c r="GI180">
        <v>0</v>
      </c>
      <c r="GJ180">
        <v>0</v>
      </c>
      <c r="GK180">
        <v>0</v>
      </c>
      <c r="GL180">
        <v>0</v>
      </c>
    </row>
    <row r="181" spans="1:194" ht="12.75">
      <c r="A181">
        <v>17</v>
      </c>
      <c r="B181">
        <v>1</v>
      </c>
      <c r="C181">
        <f>ROW(SmtRes!A76)</f>
        <v>76</v>
      </c>
      <c r="D181">
        <f>ROW(EtalonRes!A77)</f>
        <v>77</v>
      </c>
      <c r="E181" t="s">
        <v>405</v>
      </c>
      <c r="F181" t="s">
        <v>389</v>
      </c>
      <c r="G181" t="s">
        <v>390</v>
      </c>
      <c r="H181" t="s">
        <v>391</v>
      </c>
      <c r="I181">
        <v>0.014</v>
      </c>
      <c r="J181">
        <v>0</v>
      </c>
      <c r="O181">
        <f t="shared" si="86"/>
        <v>70.78</v>
      </c>
      <c r="P181">
        <f t="shared" si="87"/>
        <v>6.27</v>
      </c>
      <c r="Q181">
        <f t="shared" si="88"/>
        <v>53</v>
      </c>
      <c r="R181">
        <f t="shared" si="89"/>
        <v>16.82</v>
      </c>
      <c r="S181">
        <f t="shared" si="90"/>
        <v>11.51</v>
      </c>
      <c r="T181">
        <f t="shared" si="91"/>
        <v>0</v>
      </c>
      <c r="U181">
        <f t="shared" si="92"/>
        <v>0.072315243</v>
      </c>
      <c r="V181">
        <f t="shared" si="93"/>
        <v>0</v>
      </c>
      <c r="W181">
        <f t="shared" si="94"/>
        <v>0</v>
      </c>
      <c r="X181">
        <f t="shared" si="95"/>
        <v>16.11</v>
      </c>
      <c r="Y181">
        <f t="shared" si="96"/>
        <v>6.56</v>
      </c>
      <c r="AA181">
        <v>0</v>
      </c>
      <c r="AB181">
        <f t="shared" si="97"/>
        <v>599.94</v>
      </c>
      <c r="AC181">
        <f>(ES181)</f>
        <v>57.83</v>
      </c>
      <c r="AD181">
        <f>((((ET181*1.15))-((EU181*1.15)))+AE181)</f>
        <v>482.1145</v>
      </c>
      <c r="AE181">
        <f>((EU181*1.15))</f>
        <v>87.65299999999999</v>
      </c>
      <c r="AF181">
        <f>((EV181*1.15))</f>
        <v>59.9955</v>
      </c>
      <c r="AG181">
        <f>(AP181)</f>
        <v>0</v>
      </c>
      <c r="AH181">
        <f>((EW181*1.15))</f>
        <v>4.9334999999999996</v>
      </c>
      <c r="AI181">
        <f>((EX181*1.15))</f>
        <v>0</v>
      </c>
      <c r="AJ181">
        <f>(AS181)</f>
        <v>0</v>
      </c>
      <c r="AK181">
        <v>529.23</v>
      </c>
      <c r="AL181">
        <v>57.83</v>
      </c>
      <c r="AM181">
        <v>419.23</v>
      </c>
      <c r="AN181">
        <v>76.22</v>
      </c>
      <c r="AO181">
        <v>52.17</v>
      </c>
      <c r="AP181">
        <v>0</v>
      </c>
      <c r="AQ181">
        <v>4.29</v>
      </c>
      <c r="AR181">
        <v>0</v>
      </c>
      <c r="AS181">
        <v>0</v>
      </c>
      <c r="AT181">
        <v>140</v>
      </c>
      <c r="AU181">
        <v>57</v>
      </c>
      <c r="AV181">
        <v>1.047</v>
      </c>
      <c r="AW181">
        <v>1</v>
      </c>
      <c r="AX181">
        <v>1</v>
      </c>
      <c r="AY181">
        <v>13.09</v>
      </c>
      <c r="AZ181">
        <v>13.09</v>
      </c>
      <c r="BA181">
        <v>13.09</v>
      </c>
      <c r="BB181">
        <v>7.5</v>
      </c>
      <c r="BC181">
        <v>7.75</v>
      </c>
      <c r="BH181">
        <v>0</v>
      </c>
      <c r="BI181">
        <v>1</v>
      </c>
      <c r="BJ181" t="s">
        <v>392</v>
      </c>
      <c r="BM181">
        <v>158</v>
      </c>
      <c r="BN181">
        <v>0</v>
      </c>
      <c r="BO181" t="s">
        <v>389</v>
      </c>
      <c r="BP181">
        <v>1</v>
      </c>
      <c r="BQ181">
        <v>30</v>
      </c>
      <c r="BR181">
        <v>0</v>
      </c>
      <c r="BS181">
        <v>13.09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140</v>
      </c>
      <c r="CA181">
        <v>57</v>
      </c>
      <c r="CF181">
        <v>0</v>
      </c>
      <c r="CG181">
        <v>0</v>
      </c>
      <c r="CM181">
        <v>0</v>
      </c>
      <c r="CN181" t="s">
        <v>293</v>
      </c>
      <c r="CO181">
        <v>0</v>
      </c>
      <c r="CP181">
        <f t="shared" si="98"/>
        <v>70.78</v>
      </c>
      <c r="CQ181">
        <f t="shared" si="99"/>
        <v>448.1825</v>
      </c>
      <c r="CR181">
        <f t="shared" si="100"/>
        <v>3785.80411125</v>
      </c>
      <c r="CS181">
        <f t="shared" si="101"/>
        <v>1201.3045251899998</v>
      </c>
      <c r="CT181">
        <f t="shared" si="102"/>
        <v>822.252126465</v>
      </c>
      <c r="CU181">
        <f t="shared" si="103"/>
        <v>0</v>
      </c>
      <c r="CV181">
        <f t="shared" si="104"/>
        <v>5.1653744999999995</v>
      </c>
      <c r="CW181">
        <f t="shared" si="105"/>
        <v>0</v>
      </c>
      <c r="CX181">
        <f t="shared" si="106"/>
        <v>0</v>
      </c>
      <c r="CY181">
        <f t="shared" si="107"/>
        <v>16.113999999999997</v>
      </c>
      <c r="CZ181">
        <f t="shared" si="108"/>
        <v>6.5607</v>
      </c>
      <c r="DE181" t="s">
        <v>294</v>
      </c>
      <c r="DF181" t="s">
        <v>294</v>
      </c>
      <c r="DG181" t="s">
        <v>294</v>
      </c>
      <c r="DI181" t="s">
        <v>294</v>
      </c>
      <c r="DJ181" t="s">
        <v>294</v>
      </c>
      <c r="DN181">
        <v>161</v>
      </c>
      <c r="DO181">
        <v>107</v>
      </c>
      <c r="DP181">
        <v>1.047</v>
      </c>
      <c r="DQ181">
        <v>1</v>
      </c>
      <c r="DR181">
        <v>7.75</v>
      </c>
      <c r="DS181">
        <v>1</v>
      </c>
      <c r="DT181">
        <v>13.09</v>
      </c>
      <c r="DU181">
        <v>1005</v>
      </c>
      <c r="DV181" t="s">
        <v>391</v>
      </c>
      <c r="DW181" t="s">
        <v>391</v>
      </c>
      <c r="DX181">
        <v>100</v>
      </c>
      <c r="EE181">
        <v>18683712</v>
      </c>
      <c r="EF181">
        <v>30</v>
      </c>
      <c r="EG181" t="s">
        <v>44</v>
      </c>
      <c r="EH181">
        <v>0</v>
      </c>
      <c r="EJ181">
        <v>1</v>
      </c>
      <c r="EK181">
        <v>158</v>
      </c>
      <c r="EL181" t="s">
        <v>393</v>
      </c>
      <c r="EM181" t="s">
        <v>394</v>
      </c>
      <c r="EO181" t="s">
        <v>297</v>
      </c>
      <c r="EQ181">
        <v>64</v>
      </c>
      <c r="ER181">
        <v>529.23</v>
      </c>
      <c r="ES181">
        <v>57.83</v>
      </c>
      <c r="ET181">
        <v>419.23</v>
      </c>
      <c r="EU181">
        <v>76.22</v>
      </c>
      <c r="EV181">
        <v>52.17</v>
      </c>
      <c r="EW181">
        <v>4.29</v>
      </c>
      <c r="EX181">
        <v>0</v>
      </c>
      <c r="EY181">
        <v>0</v>
      </c>
      <c r="EZ181">
        <v>0</v>
      </c>
      <c r="FQ181">
        <v>0</v>
      </c>
      <c r="FR181">
        <f t="shared" si="109"/>
        <v>0</v>
      </c>
      <c r="FS181">
        <v>0</v>
      </c>
      <c r="FX181">
        <v>140</v>
      </c>
      <c r="FY181">
        <v>57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</row>
    <row r="182" spans="1:194" ht="12.75">
      <c r="A182">
        <v>18</v>
      </c>
      <c r="B182">
        <v>1</v>
      </c>
      <c r="C182">
        <v>75</v>
      </c>
      <c r="E182" t="s">
        <v>406</v>
      </c>
      <c r="F182" t="s">
        <v>407</v>
      </c>
      <c r="G182" t="s">
        <v>408</v>
      </c>
      <c r="H182" t="s">
        <v>120</v>
      </c>
      <c r="I182">
        <f>I181*J182</f>
        <v>0.13062</v>
      </c>
      <c r="J182">
        <v>9.33</v>
      </c>
      <c r="O182">
        <f t="shared" si="86"/>
        <v>262.69</v>
      </c>
      <c r="P182">
        <f t="shared" si="87"/>
        <v>262.69</v>
      </c>
      <c r="Q182">
        <f t="shared" si="88"/>
        <v>0</v>
      </c>
      <c r="R182">
        <f t="shared" si="89"/>
        <v>0</v>
      </c>
      <c r="S182">
        <f t="shared" si="90"/>
        <v>0</v>
      </c>
      <c r="T182">
        <f t="shared" si="91"/>
        <v>0</v>
      </c>
      <c r="U182">
        <f t="shared" si="92"/>
        <v>0</v>
      </c>
      <c r="V182">
        <f t="shared" si="93"/>
        <v>0</v>
      </c>
      <c r="W182">
        <f t="shared" si="94"/>
        <v>0</v>
      </c>
      <c r="X182">
        <f t="shared" si="95"/>
        <v>0</v>
      </c>
      <c r="Y182">
        <f t="shared" si="96"/>
        <v>0</v>
      </c>
      <c r="AA182">
        <v>0</v>
      </c>
      <c r="AB182">
        <f t="shared" si="97"/>
        <v>301.52</v>
      </c>
      <c r="AC182">
        <f>AL182</f>
        <v>301.52</v>
      </c>
      <c r="AD182">
        <f>((AM182-AN182)+AE182)</f>
        <v>0</v>
      </c>
      <c r="AE182">
        <f aca="true" t="shared" si="124" ref="AE182:AJ182">AN182</f>
        <v>0</v>
      </c>
      <c r="AF182">
        <f t="shared" si="124"/>
        <v>0</v>
      </c>
      <c r="AG182">
        <f t="shared" si="124"/>
        <v>0</v>
      </c>
      <c r="AH182">
        <f t="shared" si="124"/>
        <v>0</v>
      </c>
      <c r="AI182">
        <f t="shared" si="124"/>
        <v>0</v>
      </c>
      <c r="AJ182">
        <f t="shared" si="124"/>
        <v>0</v>
      </c>
      <c r="AK182">
        <v>301.52</v>
      </c>
      <c r="AL182">
        <v>301.52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6.67</v>
      </c>
      <c r="BH182">
        <v>3</v>
      </c>
      <c r="BI182">
        <v>1</v>
      </c>
      <c r="BJ182" t="s">
        <v>409</v>
      </c>
      <c r="BM182">
        <v>158</v>
      </c>
      <c r="BN182">
        <v>0</v>
      </c>
      <c r="BO182" t="s">
        <v>407</v>
      </c>
      <c r="BP182">
        <v>1</v>
      </c>
      <c r="BQ182">
        <v>30</v>
      </c>
      <c r="BR182">
        <v>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Z182">
        <v>0</v>
      </c>
      <c r="CA182">
        <v>0</v>
      </c>
      <c r="CF182">
        <v>0</v>
      </c>
      <c r="CG182">
        <v>0</v>
      </c>
      <c r="CM182">
        <v>0</v>
      </c>
      <c r="CO182">
        <v>0</v>
      </c>
      <c r="CP182">
        <f t="shared" si="98"/>
        <v>262.69</v>
      </c>
      <c r="CQ182">
        <f t="shared" si="99"/>
        <v>2011.1383999999998</v>
      </c>
      <c r="CR182">
        <f t="shared" si="100"/>
        <v>0</v>
      </c>
      <c r="CS182">
        <f t="shared" si="101"/>
        <v>0</v>
      </c>
      <c r="CT182">
        <f t="shared" si="102"/>
        <v>0</v>
      </c>
      <c r="CU182">
        <f t="shared" si="103"/>
        <v>0</v>
      </c>
      <c r="CV182">
        <f t="shared" si="104"/>
        <v>0</v>
      </c>
      <c r="CW182">
        <f t="shared" si="105"/>
        <v>0</v>
      </c>
      <c r="CX182">
        <f t="shared" si="106"/>
        <v>0</v>
      </c>
      <c r="CY182">
        <f t="shared" si="107"/>
        <v>0</v>
      </c>
      <c r="CZ182">
        <f t="shared" si="108"/>
        <v>0</v>
      </c>
      <c r="DN182">
        <v>161</v>
      </c>
      <c r="DO182">
        <v>107</v>
      </c>
      <c r="DP182">
        <v>1.047</v>
      </c>
      <c r="DQ182">
        <v>1</v>
      </c>
      <c r="DR182">
        <v>6.67</v>
      </c>
      <c r="DS182">
        <v>1</v>
      </c>
      <c r="DT182">
        <v>1</v>
      </c>
      <c r="DU182">
        <v>1009</v>
      </c>
      <c r="DV182" t="s">
        <v>120</v>
      </c>
      <c r="DW182" t="s">
        <v>120</v>
      </c>
      <c r="DX182">
        <v>1000</v>
      </c>
      <c r="EE182">
        <v>18683712</v>
      </c>
      <c r="EF182">
        <v>30</v>
      </c>
      <c r="EG182" t="s">
        <v>44</v>
      </c>
      <c r="EH182">
        <v>0</v>
      </c>
      <c r="EJ182">
        <v>1</v>
      </c>
      <c r="EK182">
        <v>158</v>
      </c>
      <c r="EL182" t="s">
        <v>393</v>
      </c>
      <c r="EM182" t="s">
        <v>394</v>
      </c>
      <c r="EQ182">
        <v>0</v>
      </c>
      <c r="ER182">
        <v>301.52</v>
      </c>
      <c r="ES182">
        <v>301.52</v>
      </c>
      <c r="ET182">
        <v>0</v>
      </c>
      <c r="EU182">
        <v>0</v>
      </c>
      <c r="EV182">
        <v>0</v>
      </c>
      <c r="EW182">
        <v>0</v>
      </c>
      <c r="EX182">
        <v>0</v>
      </c>
      <c r="EZ182">
        <v>0</v>
      </c>
      <c r="FQ182">
        <v>0</v>
      </c>
      <c r="FR182">
        <f t="shared" si="109"/>
        <v>0</v>
      </c>
      <c r="FS182">
        <v>0</v>
      </c>
      <c r="FX182">
        <v>0</v>
      </c>
      <c r="FY182">
        <v>0</v>
      </c>
      <c r="GA182">
        <v>301.52</v>
      </c>
      <c r="GB182">
        <v>301.52</v>
      </c>
      <c r="GC182">
        <v>0</v>
      </c>
      <c r="GD182">
        <v>0</v>
      </c>
      <c r="GE182">
        <v>0</v>
      </c>
      <c r="GF182">
        <v>301.52</v>
      </c>
      <c r="GG182">
        <v>301.52</v>
      </c>
      <c r="GH182">
        <v>0</v>
      </c>
      <c r="GI182">
        <v>0</v>
      </c>
      <c r="GJ182">
        <v>0</v>
      </c>
      <c r="GK182">
        <v>0</v>
      </c>
      <c r="GL182">
        <v>0</v>
      </c>
    </row>
    <row r="183" spans="1:194" ht="12.75">
      <c r="A183">
        <v>17</v>
      </c>
      <c r="B183">
        <v>1</v>
      </c>
      <c r="C183">
        <f>ROW(SmtRes!A81)</f>
        <v>81</v>
      </c>
      <c r="D183">
        <f>ROW(EtalonRes!A82)</f>
        <v>82</v>
      </c>
      <c r="E183" t="s">
        <v>410</v>
      </c>
      <c r="F183" t="s">
        <v>411</v>
      </c>
      <c r="G183" t="s">
        <v>412</v>
      </c>
      <c r="H183" t="s">
        <v>34</v>
      </c>
      <c r="I183">
        <v>2</v>
      </c>
      <c r="J183">
        <v>0</v>
      </c>
      <c r="O183">
        <f t="shared" si="86"/>
        <v>1578.52</v>
      </c>
      <c r="P183">
        <f t="shared" si="87"/>
        <v>0</v>
      </c>
      <c r="Q183">
        <f t="shared" si="88"/>
        <v>367.32</v>
      </c>
      <c r="R183">
        <f t="shared" si="89"/>
        <v>147.92</v>
      </c>
      <c r="S183">
        <f t="shared" si="90"/>
        <v>1211.2</v>
      </c>
      <c r="T183">
        <f t="shared" si="91"/>
        <v>0</v>
      </c>
      <c r="U183">
        <f t="shared" si="92"/>
        <v>8.275331</v>
      </c>
      <c r="V183">
        <f t="shared" si="93"/>
        <v>0</v>
      </c>
      <c r="W183">
        <f t="shared" si="94"/>
        <v>0</v>
      </c>
      <c r="X183">
        <f t="shared" si="95"/>
        <v>1186.98</v>
      </c>
      <c r="Y183">
        <f t="shared" si="96"/>
        <v>508.7</v>
      </c>
      <c r="AA183">
        <v>0</v>
      </c>
      <c r="AB183">
        <f t="shared" si="97"/>
        <v>64.11249999999998</v>
      </c>
      <c r="AC183">
        <f>(ES183)</f>
        <v>0</v>
      </c>
      <c r="AD183">
        <f>((((ET183*1.15))-((EU183*1.15)))+AE183)</f>
        <v>21.550999999999995</v>
      </c>
      <c r="AE183">
        <f>((EU183*1.15))</f>
        <v>5.1979999999999995</v>
      </c>
      <c r="AF183">
        <f>((EV183*1.15))</f>
        <v>42.561499999999995</v>
      </c>
      <c r="AG183">
        <f>(AP183)</f>
        <v>0</v>
      </c>
      <c r="AH183">
        <f>((EW183*1.15))</f>
        <v>3.8064999999999998</v>
      </c>
      <c r="AI183">
        <f>((EX183*1.15))</f>
        <v>0</v>
      </c>
      <c r="AJ183">
        <f>(AS183)</f>
        <v>0</v>
      </c>
      <c r="AK183">
        <v>55.75</v>
      </c>
      <c r="AL183">
        <v>0</v>
      </c>
      <c r="AM183">
        <v>18.74</v>
      </c>
      <c r="AN183">
        <v>4.52</v>
      </c>
      <c r="AO183">
        <v>37.01</v>
      </c>
      <c r="AP183">
        <v>0</v>
      </c>
      <c r="AQ183">
        <v>3.31</v>
      </c>
      <c r="AR183">
        <v>0</v>
      </c>
      <c r="AS183">
        <v>0</v>
      </c>
      <c r="AT183">
        <v>98</v>
      </c>
      <c r="AU183">
        <v>42</v>
      </c>
      <c r="AV183">
        <v>1.087</v>
      </c>
      <c r="AW183">
        <v>1</v>
      </c>
      <c r="AX183">
        <v>1</v>
      </c>
      <c r="AY183">
        <v>13.09</v>
      </c>
      <c r="AZ183">
        <v>13.09</v>
      </c>
      <c r="BA183">
        <v>13.09</v>
      </c>
      <c r="BB183">
        <v>7.84</v>
      </c>
      <c r="BC183">
        <v>1</v>
      </c>
      <c r="BH183">
        <v>0</v>
      </c>
      <c r="BI183">
        <v>1</v>
      </c>
      <c r="BJ183" t="s">
        <v>413</v>
      </c>
      <c r="BM183">
        <v>235</v>
      </c>
      <c r="BN183">
        <v>0</v>
      </c>
      <c r="BO183" t="s">
        <v>411</v>
      </c>
      <c r="BP183">
        <v>1</v>
      </c>
      <c r="BQ183">
        <v>30</v>
      </c>
      <c r="BR183">
        <v>0</v>
      </c>
      <c r="BS183">
        <v>13.09</v>
      </c>
      <c r="BT183">
        <v>1</v>
      </c>
      <c r="BU183">
        <v>1</v>
      </c>
      <c r="BV183">
        <v>1</v>
      </c>
      <c r="BW183">
        <v>1</v>
      </c>
      <c r="BX183">
        <v>1</v>
      </c>
      <c r="BZ183">
        <v>98</v>
      </c>
      <c r="CA183">
        <v>42</v>
      </c>
      <c r="CF183">
        <v>0</v>
      </c>
      <c r="CG183">
        <v>0</v>
      </c>
      <c r="CM183">
        <v>0</v>
      </c>
      <c r="CN183" t="s">
        <v>293</v>
      </c>
      <c r="CO183">
        <v>0</v>
      </c>
      <c r="CP183">
        <f t="shared" si="98"/>
        <v>1578.52</v>
      </c>
      <c r="CQ183">
        <f t="shared" si="99"/>
        <v>0</v>
      </c>
      <c r="CR183">
        <f t="shared" si="100"/>
        <v>183.65934607999995</v>
      </c>
      <c r="CS183">
        <f t="shared" si="101"/>
        <v>73.96145834</v>
      </c>
      <c r="CT183">
        <f t="shared" si="102"/>
        <v>605.6003480449999</v>
      </c>
      <c r="CU183">
        <f t="shared" si="103"/>
        <v>0</v>
      </c>
      <c r="CV183">
        <f t="shared" si="104"/>
        <v>4.1376655</v>
      </c>
      <c r="CW183">
        <f t="shared" si="105"/>
        <v>0</v>
      </c>
      <c r="CX183">
        <f t="shared" si="106"/>
        <v>0</v>
      </c>
      <c r="CY183">
        <f t="shared" si="107"/>
        <v>1186.976</v>
      </c>
      <c r="CZ183">
        <f t="shared" si="108"/>
        <v>508.704</v>
      </c>
      <c r="DE183" t="s">
        <v>294</v>
      </c>
      <c r="DF183" t="s">
        <v>294</v>
      </c>
      <c r="DG183" t="s">
        <v>294</v>
      </c>
      <c r="DI183" t="s">
        <v>294</v>
      </c>
      <c r="DJ183" t="s">
        <v>294</v>
      </c>
      <c r="DN183">
        <v>114</v>
      </c>
      <c r="DO183">
        <v>80</v>
      </c>
      <c r="DP183">
        <v>1.087</v>
      </c>
      <c r="DQ183">
        <v>1</v>
      </c>
      <c r="DR183">
        <v>1</v>
      </c>
      <c r="DS183">
        <v>1</v>
      </c>
      <c r="DT183">
        <v>13.09</v>
      </c>
      <c r="DU183">
        <v>1007</v>
      </c>
      <c r="DV183" t="s">
        <v>34</v>
      </c>
      <c r="DW183" t="s">
        <v>34</v>
      </c>
      <c r="DX183">
        <v>1</v>
      </c>
      <c r="EE183">
        <v>18683789</v>
      </c>
      <c r="EF183">
        <v>30</v>
      </c>
      <c r="EG183" t="s">
        <v>44</v>
      </c>
      <c r="EH183">
        <v>0</v>
      </c>
      <c r="EJ183">
        <v>1</v>
      </c>
      <c r="EK183">
        <v>235</v>
      </c>
      <c r="EL183" t="s">
        <v>45</v>
      </c>
      <c r="EM183" t="s">
        <v>46</v>
      </c>
      <c r="EO183" t="s">
        <v>297</v>
      </c>
      <c r="EQ183">
        <v>64</v>
      </c>
      <c r="ER183">
        <v>55.75</v>
      </c>
      <c r="ES183">
        <v>0</v>
      </c>
      <c r="ET183">
        <v>18.74</v>
      </c>
      <c r="EU183">
        <v>4.52</v>
      </c>
      <c r="EV183">
        <v>37.01</v>
      </c>
      <c r="EW183">
        <v>3.31</v>
      </c>
      <c r="EX183">
        <v>0</v>
      </c>
      <c r="EY183">
        <v>0</v>
      </c>
      <c r="EZ183">
        <v>0</v>
      </c>
      <c r="FQ183">
        <v>0</v>
      </c>
      <c r="FR183">
        <f t="shared" si="109"/>
        <v>0</v>
      </c>
      <c r="FS183">
        <v>0</v>
      </c>
      <c r="FX183">
        <v>98</v>
      </c>
      <c r="FY183">
        <v>42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</row>
    <row r="184" spans="1:194" ht="12.75">
      <c r="A184">
        <v>18</v>
      </c>
      <c r="B184">
        <v>1</v>
      </c>
      <c r="C184">
        <v>81</v>
      </c>
      <c r="E184" t="s">
        <v>414</v>
      </c>
      <c r="F184" t="s">
        <v>415</v>
      </c>
      <c r="G184" t="s">
        <v>416</v>
      </c>
      <c r="H184" t="s">
        <v>120</v>
      </c>
      <c r="I184">
        <f>I183*J184</f>
        <v>0.0042</v>
      </c>
      <c r="J184">
        <v>0.0021</v>
      </c>
      <c r="O184">
        <f t="shared" si="86"/>
        <v>139.72</v>
      </c>
      <c r="P184">
        <f t="shared" si="87"/>
        <v>139.72</v>
      </c>
      <c r="Q184">
        <f t="shared" si="88"/>
        <v>0</v>
      </c>
      <c r="R184">
        <f t="shared" si="89"/>
        <v>0</v>
      </c>
      <c r="S184">
        <f t="shared" si="90"/>
        <v>0</v>
      </c>
      <c r="T184">
        <f t="shared" si="91"/>
        <v>0</v>
      </c>
      <c r="U184">
        <f t="shared" si="92"/>
        <v>0</v>
      </c>
      <c r="V184">
        <f t="shared" si="93"/>
        <v>0</v>
      </c>
      <c r="W184">
        <f t="shared" si="94"/>
        <v>0</v>
      </c>
      <c r="X184">
        <f t="shared" si="95"/>
        <v>0</v>
      </c>
      <c r="Y184">
        <f t="shared" si="96"/>
        <v>0</v>
      </c>
      <c r="AA184">
        <v>0</v>
      </c>
      <c r="AB184">
        <f t="shared" si="97"/>
        <v>6385.24</v>
      </c>
      <c r="AC184">
        <f>AL184</f>
        <v>6385.24</v>
      </c>
      <c r="AD184">
        <f>((AM184-AN184)+AE184)</f>
        <v>0</v>
      </c>
      <c r="AE184">
        <f aca="true" t="shared" si="125" ref="AE184:AJ185">AN184</f>
        <v>0</v>
      </c>
      <c r="AF184">
        <f t="shared" si="125"/>
        <v>0</v>
      </c>
      <c r="AG184">
        <f t="shared" si="125"/>
        <v>0</v>
      </c>
      <c r="AH184">
        <f t="shared" si="125"/>
        <v>0</v>
      </c>
      <c r="AI184">
        <f t="shared" si="125"/>
        <v>0</v>
      </c>
      <c r="AJ184">
        <f t="shared" si="125"/>
        <v>0</v>
      </c>
      <c r="AK184">
        <v>6385.24</v>
      </c>
      <c r="AL184">
        <v>6385.24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1</v>
      </c>
      <c r="BB184">
        <v>1</v>
      </c>
      <c r="BC184">
        <v>5.21</v>
      </c>
      <c r="BH184">
        <v>3</v>
      </c>
      <c r="BI184">
        <v>1</v>
      </c>
      <c r="BJ184" t="s">
        <v>417</v>
      </c>
      <c r="BM184">
        <v>235</v>
      </c>
      <c r="BN184">
        <v>0</v>
      </c>
      <c r="BO184" t="s">
        <v>415</v>
      </c>
      <c r="BP184">
        <v>1</v>
      </c>
      <c r="BQ184">
        <v>30</v>
      </c>
      <c r="BR184">
        <v>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Z184">
        <v>0</v>
      </c>
      <c r="CA184">
        <v>0</v>
      </c>
      <c r="CF184">
        <v>0</v>
      </c>
      <c r="CG184">
        <v>0</v>
      </c>
      <c r="CM184">
        <v>0</v>
      </c>
      <c r="CO184">
        <v>0</v>
      </c>
      <c r="CP184">
        <f t="shared" si="98"/>
        <v>139.72</v>
      </c>
      <c r="CQ184">
        <f t="shared" si="99"/>
        <v>33267.100399999996</v>
      </c>
      <c r="CR184">
        <f t="shared" si="100"/>
        <v>0</v>
      </c>
      <c r="CS184">
        <f t="shared" si="101"/>
        <v>0</v>
      </c>
      <c r="CT184">
        <f t="shared" si="102"/>
        <v>0</v>
      </c>
      <c r="CU184">
        <f t="shared" si="103"/>
        <v>0</v>
      </c>
      <c r="CV184">
        <f t="shared" si="104"/>
        <v>0</v>
      </c>
      <c r="CW184">
        <f t="shared" si="105"/>
        <v>0</v>
      </c>
      <c r="CX184">
        <f t="shared" si="106"/>
        <v>0</v>
      </c>
      <c r="CY184">
        <f t="shared" si="107"/>
        <v>0</v>
      </c>
      <c r="CZ184">
        <f t="shared" si="108"/>
        <v>0</v>
      </c>
      <c r="DN184">
        <v>114</v>
      </c>
      <c r="DO184">
        <v>80</v>
      </c>
      <c r="DP184">
        <v>1.087</v>
      </c>
      <c r="DQ184">
        <v>1</v>
      </c>
      <c r="DR184">
        <v>5.21</v>
      </c>
      <c r="DS184">
        <v>1</v>
      </c>
      <c r="DT184">
        <v>1</v>
      </c>
      <c r="DU184">
        <v>1009</v>
      </c>
      <c r="DV184" t="s">
        <v>120</v>
      </c>
      <c r="DW184" t="s">
        <v>120</v>
      </c>
      <c r="DX184">
        <v>1000</v>
      </c>
      <c r="EE184">
        <v>18683789</v>
      </c>
      <c r="EF184">
        <v>30</v>
      </c>
      <c r="EG184" t="s">
        <v>44</v>
      </c>
      <c r="EH184">
        <v>0</v>
      </c>
      <c r="EJ184">
        <v>1</v>
      </c>
      <c r="EK184">
        <v>235</v>
      </c>
      <c r="EL184" t="s">
        <v>45</v>
      </c>
      <c r="EM184" t="s">
        <v>46</v>
      </c>
      <c r="EQ184">
        <v>0</v>
      </c>
      <c r="ER184">
        <v>6385.24</v>
      </c>
      <c r="ES184">
        <v>6385.24</v>
      </c>
      <c r="ET184">
        <v>0</v>
      </c>
      <c r="EU184">
        <v>0</v>
      </c>
      <c r="EV184">
        <v>0</v>
      </c>
      <c r="EW184">
        <v>0</v>
      </c>
      <c r="EX184">
        <v>0</v>
      </c>
      <c r="EZ184">
        <v>0</v>
      </c>
      <c r="FQ184">
        <v>0</v>
      </c>
      <c r="FR184">
        <f t="shared" si="109"/>
        <v>0</v>
      </c>
      <c r="FS184">
        <v>0</v>
      </c>
      <c r="FX184">
        <v>0</v>
      </c>
      <c r="FY184">
        <v>0</v>
      </c>
      <c r="GA184">
        <v>6385.24</v>
      </c>
      <c r="GB184">
        <v>6385.24</v>
      </c>
      <c r="GC184">
        <v>0</v>
      </c>
      <c r="GD184">
        <v>0</v>
      </c>
      <c r="GE184">
        <v>0</v>
      </c>
      <c r="GF184">
        <v>6385.24</v>
      </c>
      <c r="GG184">
        <v>6385.24</v>
      </c>
      <c r="GH184">
        <v>0</v>
      </c>
      <c r="GI184">
        <v>0</v>
      </c>
      <c r="GJ184">
        <v>0</v>
      </c>
      <c r="GK184">
        <v>0</v>
      </c>
      <c r="GL184">
        <v>0</v>
      </c>
    </row>
    <row r="185" spans="1:194" ht="12.75">
      <c r="A185">
        <v>18</v>
      </c>
      <c r="B185">
        <v>1</v>
      </c>
      <c r="C185">
        <v>80</v>
      </c>
      <c r="E185" t="s">
        <v>418</v>
      </c>
      <c r="F185" t="s">
        <v>419</v>
      </c>
      <c r="G185" t="s">
        <v>420</v>
      </c>
      <c r="H185" t="s">
        <v>34</v>
      </c>
      <c r="I185">
        <f>I183*J185</f>
        <v>2.04</v>
      </c>
      <c r="J185">
        <v>1.02</v>
      </c>
      <c r="O185">
        <f t="shared" si="86"/>
        <v>6499.65</v>
      </c>
      <c r="P185">
        <f t="shared" si="87"/>
        <v>6499.65</v>
      </c>
      <c r="Q185">
        <f t="shared" si="88"/>
        <v>0</v>
      </c>
      <c r="R185">
        <f t="shared" si="89"/>
        <v>0</v>
      </c>
      <c r="S185">
        <f t="shared" si="90"/>
        <v>0</v>
      </c>
      <c r="T185">
        <f t="shared" si="91"/>
        <v>0</v>
      </c>
      <c r="U185">
        <f t="shared" si="92"/>
        <v>0</v>
      </c>
      <c r="V185">
        <f t="shared" si="93"/>
        <v>0</v>
      </c>
      <c r="W185">
        <f t="shared" si="94"/>
        <v>0</v>
      </c>
      <c r="X185">
        <f t="shared" si="95"/>
        <v>0</v>
      </c>
      <c r="Y185">
        <f t="shared" si="96"/>
        <v>0</v>
      </c>
      <c r="AA185">
        <v>0</v>
      </c>
      <c r="AB185">
        <f t="shared" si="97"/>
        <v>704.89</v>
      </c>
      <c r="AC185">
        <f>AL185</f>
        <v>704.89</v>
      </c>
      <c r="AD185">
        <f>((AM185-AN185)+AE185)</f>
        <v>0</v>
      </c>
      <c r="AE185">
        <f t="shared" si="125"/>
        <v>0</v>
      </c>
      <c r="AF185">
        <f t="shared" si="125"/>
        <v>0</v>
      </c>
      <c r="AG185">
        <f t="shared" si="125"/>
        <v>0</v>
      </c>
      <c r="AH185">
        <f t="shared" si="125"/>
        <v>0</v>
      </c>
      <c r="AI185">
        <f t="shared" si="125"/>
        <v>0</v>
      </c>
      <c r="AJ185">
        <f t="shared" si="125"/>
        <v>0</v>
      </c>
      <c r="AK185">
        <v>704.89</v>
      </c>
      <c r="AL185">
        <v>704.89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X185">
        <v>1</v>
      </c>
      <c r="AY185">
        <v>1</v>
      </c>
      <c r="AZ185">
        <v>1</v>
      </c>
      <c r="BA185">
        <v>1</v>
      </c>
      <c r="BB185">
        <v>1</v>
      </c>
      <c r="BC185">
        <v>4.52</v>
      </c>
      <c r="BH185">
        <v>3</v>
      </c>
      <c r="BI185">
        <v>1</v>
      </c>
      <c r="BJ185" t="s">
        <v>421</v>
      </c>
      <c r="BM185">
        <v>235</v>
      </c>
      <c r="BN185">
        <v>0</v>
      </c>
      <c r="BO185" t="s">
        <v>419</v>
      </c>
      <c r="BP185">
        <v>1</v>
      </c>
      <c r="BQ185">
        <v>30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Z185">
        <v>0</v>
      </c>
      <c r="CA185">
        <v>0</v>
      </c>
      <c r="CF185">
        <v>0</v>
      </c>
      <c r="CG185">
        <v>0</v>
      </c>
      <c r="CM185">
        <v>0</v>
      </c>
      <c r="CO185">
        <v>0</v>
      </c>
      <c r="CP185">
        <f t="shared" si="98"/>
        <v>6499.65</v>
      </c>
      <c r="CQ185">
        <f t="shared" si="99"/>
        <v>3186.1027999999997</v>
      </c>
      <c r="CR185">
        <f t="shared" si="100"/>
        <v>0</v>
      </c>
      <c r="CS185">
        <f t="shared" si="101"/>
        <v>0</v>
      </c>
      <c r="CT185">
        <f t="shared" si="102"/>
        <v>0</v>
      </c>
      <c r="CU185">
        <f t="shared" si="103"/>
        <v>0</v>
      </c>
      <c r="CV185">
        <f t="shared" si="104"/>
        <v>0</v>
      </c>
      <c r="CW185">
        <f t="shared" si="105"/>
        <v>0</v>
      </c>
      <c r="CX185">
        <f t="shared" si="106"/>
        <v>0</v>
      </c>
      <c r="CY185">
        <f t="shared" si="107"/>
        <v>0</v>
      </c>
      <c r="CZ185">
        <f t="shared" si="108"/>
        <v>0</v>
      </c>
      <c r="DN185">
        <v>114</v>
      </c>
      <c r="DO185">
        <v>80</v>
      </c>
      <c r="DP185">
        <v>1.087</v>
      </c>
      <c r="DQ185">
        <v>1</v>
      </c>
      <c r="DR185">
        <v>4.52</v>
      </c>
      <c r="DS185">
        <v>1</v>
      </c>
      <c r="DT185">
        <v>1</v>
      </c>
      <c r="DU185">
        <v>1007</v>
      </c>
      <c r="DV185" t="s">
        <v>34</v>
      </c>
      <c r="DW185" t="s">
        <v>34</v>
      </c>
      <c r="DX185">
        <v>1</v>
      </c>
      <c r="EE185">
        <v>18683789</v>
      </c>
      <c r="EF185">
        <v>30</v>
      </c>
      <c r="EG185" t="s">
        <v>44</v>
      </c>
      <c r="EH185">
        <v>0</v>
      </c>
      <c r="EJ185">
        <v>1</v>
      </c>
      <c r="EK185">
        <v>235</v>
      </c>
      <c r="EL185" t="s">
        <v>45</v>
      </c>
      <c r="EM185" t="s">
        <v>46</v>
      </c>
      <c r="EQ185">
        <v>0</v>
      </c>
      <c r="ER185">
        <v>704.89</v>
      </c>
      <c r="ES185">
        <v>704.89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0</v>
      </c>
      <c r="FQ185">
        <v>0</v>
      </c>
      <c r="FR185">
        <f t="shared" si="109"/>
        <v>0</v>
      </c>
      <c r="FS185">
        <v>0</v>
      </c>
      <c r="FX185">
        <v>0</v>
      </c>
      <c r="FY185">
        <v>0</v>
      </c>
      <c r="GA185">
        <v>704.89</v>
      </c>
      <c r="GB185">
        <v>704.89</v>
      </c>
      <c r="GC185">
        <v>0</v>
      </c>
      <c r="GD185">
        <v>0</v>
      </c>
      <c r="GE185">
        <v>0</v>
      </c>
      <c r="GF185">
        <v>704.89</v>
      </c>
      <c r="GG185">
        <v>704.89</v>
      </c>
      <c r="GH185">
        <v>0</v>
      </c>
      <c r="GI185">
        <v>0</v>
      </c>
      <c r="GJ185">
        <v>0</v>
      </c>
      <c r="GK185">
        <v>0</v>
      </c>
      <c r="GL185">
        <v>0</v>
      </c>
    </row>
    <row r="186" spans="1:194" ht="12.75">
      <c r="A186">
        <v>17</v>
      </c>
      <c r="B186">
        <v>1</v>
      </c>
      <c r="C186">
        <f>ROW(SmtRes!A86)</f>
        <v>86</v>
      </c>
      <c r="D186">
        <f>ROW(EtalonRes!A87)</f>
        <v>87</v>
      </c>
      <c r="E186" t="s">
        <v>422</v>
      </c>
      <c r="F186" t="s">
        <v>423</v>
      </c>
      <c r="G186" t="s">
        <v>424</v>
      </c>
      <c r="H186" t="s">
        <v>42</v>
      </c>
      <c r="I186">
        <v>1</v>
      </c>
      <c r="J186">
        <v>0</v>
      </c>
      <c r="O186">
        <f t="shared" si="86"/>
        <v>1657.01</v>
      </c>
      <c r="P186">
        <f t="shared" si="87"/>
        <v>0</v>
      </c>
      <c r="Q186">
        <f t="shared" si="88"/>
        <v>1243.51</v>
      </c>
      <c r="R186">
        <f t="shared" si="89"/>
        <v>622.29</v>
      </c>
      <c r="S186">
        <f t="shared" si="90"/>
        <v>413.5</v>
      </c>
      <c r="T186">
        <f t="shared" si="91"/>
        <v>0</v>
      </c>
      <c r="U186">
        <f t="shared" si="92"/>
        <v>2.8251129999999995</v>
      </c>
      <c r="V186">
        <f t="shared" si="93"/>
        <v>0</v>
      </c>
      <c r="W186">
        <f t="shared" si="94"/>
        <v>0</v>
      </c>
      <c r="X186">
        <f t="shared" si="95"/>
        <v>405.23</v>
      </c>
      <c r="Y186">
        <f t="shared" si="96"/>
        <v>173.67</v>
      </c>
      <c r="AA186">
        <v>0</v>
      </c>
      <c r="AB186">
        <f t="shared" si="97"/>
        <v>208.36849999999995</v>
      </c>
      <c r="AC186">
        <f>(ES186)</f>
        <v>0</v>
      </c>
      <c r="AD186">
        <f>((((ET186*1.15))-((EU186*1.15)))+AE186)</f>
        <v>179.30799999999996</v>
      </c>
      <c r="AE186">
        <f aca="true" t="shared" si="126" ref="AE186:AF188">((EU186*1.15))</f>
        <v>43.7345</v>
      </c>
      <c r="AF186">
        <f t="shared" si="126"/>
        <v>29.060499999999998</v>
      </c>
      <c r="AG186">
        <f>(AP186)</f>
        <v>0</v>
      </c>
      <c r="AH186">
        <f aca="true" t="shared" si="127" ref="AH186:AI188">((EW186*1.15))</f>
        <v>2.5989999999999998</v>
      </c>
      <c r="AI186">
        <f t="shared" si="127"/>
        <v>0</v>
      </c>
      <c r="AJ186">
        <f>(AS186)</f>
        <v>0</v>
      </c>
      <c r="AK186">
        <v>181.19</v>
      </c>
      <c r="AL186">
        <v>0</v>
      </c>
      <c r="AM186">
        <v>155.92</v>
      </c>
      <c r="AN186">
        <v>38.03</v>
      </c>
      <c r="AO186">
        <v>25.27</v>
      </c>
      <c r="AP186">
        <v>0</v>
      </c>
      <c r="AQ186">
        <v>2.26</v>
      </c>
      <c r="AR186">
        <v>0</v>
      </c>
      <c r="AS186">
        <v>0</v>
      </c>
      <c r="AT186">
        <v>98</v>
      </c>
      <c r="AU186">
        <v>42</v>
      </c>
      <c r="AV186">
        <v>1.087</v>
      </c>
      <c r="AW186">
        <v>1</v>
      </c>
      <c r="AX186">
        <v>1</v>
      </c>
      <c r="AY186">
        <v>13.09</v>
      </c>
      <c r="AZ186">
        <v>13.09</v>
      </c>
      <c r="BA186">
        <v>13.09</v>
      </c>
      <c r="BB186">
        <v>6.38</v>
      </c>
      <c r="BC186">
        <v>1</v>
      </c>
      <c r="BH186">
        <v>0</v>
      </c>
      <c r="BI186">
        <v>1</v>
      </c>
      <c r="BJ186" t="s">
        <v>425</v>
      </c>
      <c r="BM186">
        <v>235</v>
      </c>
      <c r="BN186">
        <v>0</v>
      </c>
      <c r="BO186" t="s">
        <v>423</v>
      </c>
      <c r="BP186">
        <v>1</v>
      </c>
      <c r="BQ186">
        <v>30</v>
      </c>
      <c r="BR186">
        <v>0</v>
      </c>
      <c r="BS186">
        <v>13.09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98</v>
      </c>
      <c r="CA186">
        <v>42</v>
      </c>
      <c r="CF186">
        <v>0</v>
      </c>
      <c r="CG186">
        <v>0</v>
      </c>
      <c r="CM186">
        <v>0</v>
      </c>
      <c r="CN186" t="s">
        <v>293</v>
      </c>
      <c r="CO186">
        <v>0</v>
      </c>
      <c r="CP186">
        <f t="shared" si="98"/>
        <v>1657.01</v>
      </c>
      <c r="CQ186">
        <f t="shared" si="99"/>
        <v>0</v>
      </c>
      <c r="CR186">
        <f t="shared" si="100"/>
        <v>1243.5117384799998</v>
      </c>
      <c r="CS186">
        <f t="shared" si="101"/>
        <v>622.290765635</v>
      </c>
      <c r="CT186">
        <f t="shared" si="102"/>
        <v>413.49691421499995</v>
      </c>
      <c r="CU186">
        <f t="shared" si="103"/>
        <v>0</v>
      </c>
      <c r="CV186">
        <f t="shared" si="104"/>
        <v>2.8251129999999995</v>
      </c>
      <c r="CW186">
        <f t="shared" si="105"/>
        <v>0</v>
      </c>
      <c r="CX186">
        <f t="shared" si="106"/>
        <v>0</v>
      </c>
      <c r="CY186">
        <f t="shared" si="107"/>
        <v>405.23</v>
      </c>
      <c r="CZ186">
        <f t="shared" si="108"/>
        <v>173.67</v>
      </c>
      <c r="DE186" t="s">
        <v>294</v>
      </c>
      <c r="DF186" t="s">
        <v>294</v>
      </c>
      <c r="DG186" t="s">
        <v>294</v>
      </c>
      <c r="DI186" t="s">
        <v>294</v>
      </c>
      <c r="DJ186" t="s">
        <v>294</v>
      </c>
      <c r="DN186">
        <v>114</v>
      </c>
      <c r="DO186">
        <v>80</v>
      </c>
      <c r="DP186">
        <v>1.087</v>
      </c>
      <c r="DQ186">
        <v>1</v>
      </c>
      <c r="DR186">
        <v>1</v>
      </c>
      <c r="DS186">
        <v>1</v>
      </c>
      <c r="DT186">
        <v>13.09</v>
      </c>
      <c r="DU186">
        <v>1013</v>
      </c>
      <c r="DV186" t="s">
        <v>42</v>
      </c>
      <c r="DW186" t="s">
        <v>42</v>
      </c>
      <c r="DX186">
        <v>1</v>
      </c>
      <c r="EE186">
        <v>18683789</v>
      </c>
      <c r="EF186">
        <v>30</v>
      </c>
      <c r="EG186" t="s">
        <v>44</v>
      </c>
      <c r="EH186">
        <v>0</v>
      </c>
      <c r="EJ186">
        <v>1</v>
      </c>
      <c r="EK186">
        <v>235</v>
      </c>
      <c r="EL186" t="s">
        <v>45</v>
      </c>
      <c r="EM186" t="s">
        <v>46</v>
      </c>
      <c r="EO186" t="s">
        <v>297</v>
      </c>
      <c r="EQ186">
        <v>64</v>
      </c>
      <c r="ER186">
        <v>181.19</v>
      </c>
      <c r="ES186">
        <v>0</v>
      </c>
      <c r="ET186">
        <v>155.92</v>
      </c>
      <c r="EU186">
        <v>38.03</v>
      </c>
      <c r="EV186">
        <v>25.27</v>
      </c>
      <c r="EW186">
        <v>2.26</v>
      </c>
      <c r="EX186">
        <v>0</v>
      </c>
      <c r="EY186">
        <v>0</v>
      </c>
      <c r="EZ186">
        <v>0</v>
      </c>
      <c r="FQ186">
        <v>0</v>
      </c>
      <c r="FR186">
        <f t="shared" si="109"/>
        <v>0</v>
      </c>
      <c r="FS186">
        <v>0</v>
      </c>
      <c r="FX186">
        <v>98</v>
      </c>
      <c r="FY186">
        <v>42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1</v>
      </c>
      <c r="GL186">
        <v>0</v>
      </c>
    </row>
    <row r="187" spans="1:194" ht="12.75">
      <c r="A187">
        <v>17</v>
      </c>
      <c r="B187">
        <v>1</v>
      </c>
      <c r="C187">
        <f>ROW(SmtRes!A88)</f>
        <v>88</v>
      </c>
      <c r="D187">
        <f>ROW(EtalonRes!A89)</f>
        <v>89</v>
      </c>
      <c r="E187" t="s">
        <v>426</v>
      </c>
      <c r="F187" t="s">
        <v>427</v>
      </c>
      <c r="G187" t="s">
        <v>428</v>
      </c>
      <c r="H187" t="s">
        <v>42</v>
      </c>
      <c r="I187">
        <v>-1</v>
      </c>
      <c r="J187">
        <v>0</v>
      </c>
      <c r="O187">
        <f t="shared" si="86"/>
        <v>-778.3</v>
      </c>
      <c r="P187">
        <f t="shared" si="87"/>
        <v>0</v>
      </c>
      <c r="Q187">
        <f t="shared" si="88"/>
        <v>-659.34</v>
      </c>
      <c r="R187">
        <f t="shared" si="89"/>
        <v>-279.81</v>
      </c>
      <c r="S187">
        <f t="shared" si="90"/>
        <v>-118.96</v>
      </c>
      <c r="T187">
        <f t="shared" si="91"/>
        <v>0</v>
      </c>
      <c r="U187">
        <f t="shared" si="92"/>
        <v>-0.8125324999999999</v>
      </c>
      <c r="V187">
        <f t="shared" si="93"/>
        <v>0</v>
      </c>
      <c r="W187">
        <f t="shared" si="94"/>
        <v>0</v>
      </c>
      <c r="X187">
        <f t="shared" si="95"/>
        <v>-116.58</v>
      </c>
      <c r="Y187">
        <f t="shared" si="96"/>
        <v>-49.96</v>
      </c>
      <c r="AA187">
        <v>0</v>
      </c>
      <c r="AB187">
        <f t="shared" si="97"/>
        <v>104.489</v>
      </c>
      <c r="AC187">
        <f>(ES187)</f>
        <v>0</v>
      </c>
      <c r="AD187">
        <f>((((ET187*1.15))-((EU187*1.15)))+AE187)</f>
        <v>96.1285</v>
      </c>
      <c r="AE187">
        <f t="shared" si="126"/>
        <v>19.665</v>
      </c>
      <c r="AF187">
        <f t="shared" si="126"/>
        <v>8.360499999999998</v>
      </c>
      <c r="AG187">
        <f>(AP187)</f>
        <v>0</v>
      </c>
      <c r="AH187">
        <f t="shared" si="127"/>
        <v>0.7474999999999999</v>
      </c>
      <c r="AI187">
        <f t="shared" si="127"/>
        <v>0</v>
      </c>
      <c r="AJ187">
        <f>(AS187)</f>
        <v>0</v>
      </c>
      <c r="AK187">
        <v>90.86</v>
      </c>
      <c r="AL187">
        <v>0</v>
      </c>
      <c r="AM187">
        <v>83.59</v>
      </c>
      <c r="AN187">
        <v>17.1</v>
      </c>
      <c r="AO187">
        <v>7.27</v>
      </c>
      <c r="AP187">
        <v>0</v>
      </c>
      <c r="AQ187">
        <v>0.65</v>
      </c>
      <c r="AR187">
        <v>0</v>
      </c>
      <c r="AS187">
        <v>0</v>
      </c>
      <c r="AT187">
        <v>98</v>
      </c>
      <c r="AU187">
        <v>42</v>
      </c>
      <c r="AV187">
        <v>1.087</v>
      </c>
      <c r="AW187">
        <v>1</v>
      </c>
      <c r="AX187">
        <v>1</v>
      </c>
      <c r="AY187">
        <v>13.09</v>
      </c>
      <c r="AZ187">
        <v>13.09</v>
      </c>
      <c r="BA187">
        <v>13.09</v>
      </c>
      <c r="BB187">
        <v>6.31</v>
      </c>
      <c r="BC187">
        <v>1</v>
      </c>
      <c r="BH187">
        <v>0</v>
      </c>
      <c r="BI187">
        <v>1</v>
      </c>
      <c r="BJ187" t="s">
        <v>429</v>
      </c>
      <c r="BM187">
        <v>235</v>
      </c>
      <c r="BN187">
        <v>0</v>
      </c>
      <c r="BO187" t="s">
        <v>427</v>
      </c>
      <c r="BP187">
        <v>1</v>
      </c>
      <c r="BQ187">
        <v>30</v>
      </c>
      <c r="BR187">
        <v>0</v>
      </c>
      <c r="BS187">
        <v>13.09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98</v>
      </c>
      <c r="CA187">
        <v>42</v>
      </c>
      <c r="CF187">
        <v>0</v>
      </c>
      <c r="CG187">
        <v>0</v>
      </c>
      <c r="CM187">
        <v>0</v>
      </c>
      <c r="CN187" t="s">
        <v>293</v>
      </c>
      <c r="CO187">
        <v>0</v>
      </c>
      <c r="CP187">
        <f t="shared" si="98"/>
        <v>-778.3000000000001</v>
      </c>
      <c r="CQ187">
        <f t="shared" si="99"/>
        <v>0</v>
      </c>
      <c r="CR187">
        <f t="shared" si="100"/>
        <v>659.342497645</v>
      </c>
      <c r="CS187">
        <f t="shared" si="101"/>
        <v>279.80994195</v>
      </c>
      <c r="CT187">
        <f t="shared" si="102"/>
        <v>118.96013321499997</v>
      </c>
      <c r="CU187">
        <f t="shared" si="103"/>
        <v>0</v>
      </c>
      <c r="CV187">
        <f t="shared" si="104"/>
        <v>0.8125324999999999</v>
      </c>
      <c r="CW187">
        <f t="shared" si="105"/>
        <v>0</v>
      </c>
      <c r="CX187">
        <f t="shared" si="106"/>
        <v>0</v>
      </c>
      <c r="CY187">
        <f t="shared" si="107"/>
        <v>-116.5808</v>
      </c>
      <c r="CZ187">
        <f t="shared" si="108"/>
        <v>-49.96319999999999</v>
      </c>
      <c r="DE187" t="s">
        <v>294</v>
      </c>
      <c r="DF187" t="s">
        <v>294</v>
      </c>
      <c r="DG187" t="s">
        <v>294</v>
      </c>
      <c r="DI187" t="s">
        <v>294</v>
      </c>
      <c r="DJ187" t="s">
        <v>294</v>
      </c>
      <c r="DN187">
        <v>114</v>
      </c>
      <c r="DO187">
        <v>80</v>
      </c>
      <c r="DP187">
        <v>1.087</v>
      </c>
      <c r="DQ187">
        <v>1</v>
      </c>
      <c r="DR187">
        <v>1</v>
      </c>
      <c r="DS187">
        <v>1</v>
      </c>
      <c r="DT187">
        <v>13.09</v>
      </c>
      <c r="DU187">
        <v>1013</v>
      </c>
      <c r="DV187" t="s">
        <v>42</v>
      </c>
      <c r="DW187" t="s">
        <v>42</v>
      </c>
      <c r="DX187">
        <v>1</v>
      </c>
      <c r="EE187">
        <v>18683789</v>
      </c>
      <c r="EF187">
        <v>30</v>
      </c>
      <c r="EG187" t="s">
        <v>44</v>
      </c>
      <c r="EH187">
        <v>0</v>
      </c>
      <c r="EJ187">
        <v>1</v>
      </c>
      <c r="EK187">
        <v>235</v>
      </c>
      <c r="EL187" t="s">
        <v>45</v>
      </c>
      <c r="EM187" t="s">
        <v>46</v>
      </c>
      <c r="EO187" t="s">
        <v>297</v>
      </c>
      <c r="EQ187">
        <v>64</v>
      </c>
      <c r="ER187">
        <v>90.86</v>
      </c>
      <c r="ES187">
        <v>0</v>
      </c>
      <c r="ET187">
        <v>83.59</v>
      </c>
      <c r="EU187">
        <v>17.1</v>
      </c>
      <c r="EV187">
        <v>7.27</v>
      </c>
      <c r="EW187">
        <v>0.65</v>
      </c>
      <c r="EX187">
        <v>0</v>
      </c>
      <c r="EY187">
        <v>0</v>
      </c>
      <c r="EZ187">
        <v>0</v>
      </c>
      <c r="FQ187">
        <v>0</v>
      </c>
      <c r="FR187">
        <f t="shared" si="109"/>
        <v>0</v>
      </c>
      <c r="FS187">
        <v>0</v>
      </c>
      <c r="FX187">
        <v>98</v>
      </c>
      <c r="FY187">
        <v>42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</row>
    <row r="188" spans="1:194" ht="12.75">
      <c r="A188">
        <v>17</v>
      </c>
      <c r="B188">
        <v>1</v>
      </c>
      <c r="C188">
        <f>ROW(SmtRes!A91)</f>
        <v>91</v>
      </c>
      <c r="D188">
        <f>ROW(EtalonRes!A92)</f>
        <v>92</v>
      </c>
      <c r="E188" t="s">
        <v>430</v>
      </c>
      <c r="F188" t="s">
        <v>431</v>
      </c>
      <c r="G188" t="s">
        <v>432</v>
      </c>
      <c r="H188" t="s">
        <v>259</v>
      </c>
      <c r="I188">
        <v>0.08</v>
      </c>
      <c r="J188">
        <v>0</v>
      </c>
      <c r="O188">
        <f t="shared" si="86"/>
        <v>207.21</v>
      </c>
      <c r="P188">
        <f t="shared" si="87"/>
        <v>0</v>
      </c>
      <c r="Q188">
        <f t="shared" si="88"/>
        <v>1.58</v>
      </c>
      <c r="R188">
        <f t="shared" si="89"/>
        <v>0.64</v>
      </c>
      <c r="S188">
        <f t="shared" si="90"/>
        <v>205.63</v>
      </c>
      <c r="T188">
        <f t="shared" si="91"/>
        <v>0</v>
      </c>
      <c r="U188">
        <f t="shared" si="92"/>
        <v>1.1900476</v>
      </c>
      <c r="V188">
        <f t="shared" si="93"/>
        <v>0</v>
      </c>
      <c r="W188">
        <f t="shared" si="94"/>
        <v>0</v>
      </c>
      <c r="X188">
        <f t="shared" si="95"/>
        <v>154.22</v>
      </c>
      <c r="Y188">
        <f t="shared" si="96"/>
        <v>108.98</v>
      </c>
      <c r="AA188">
        <v>0</v>
      </c>
      <c r="AB188">
        <f t="shared" si="97"/>
        <v>183.034</v>
      </c>
      <c r="AC188">
        <f>(ES188)</f>
        <v>0</v>
      </c>
      <c r="AD188">
        <f>((((ET188*1.15))-((EU188*1.15)))+AE188)</f>
        <v>2.392</v>
      </c>
      <c r="AE188">
        <f t="shared" si="126"/>
        <v>0.5635</v>
      </c>
      <c r="AF188">
        <f t="shared" si="126"/>
        <v>180.642</v>
      </c>
      <c r="AG188">
        <f>(AP188)</f>
        <v>0</v>
      </c>
      <c r="AH188">
        <f t="shared" si="127"/>
        <v>13.684999999999999</v>
      </c>
      <c r="AI188">
        <f t="shared" si="127"/>
        <v>0</v>
      </c>
      <c r="AJ188">
        <f>(AS188)</f>
        <v>0</v>
      </c>
      <c r="AK188">
        <v>159.16</v>
      </c>
      <c r="AL188">
        <v>0</v>
      </c>
      <c r="AM188">
        <v>2.08</v>
      </c>
      <c r="AN188">
        <v>0.49</v>
      </c>
      <c r="AO188">
        <v>157.08</v>
      </c>
      <c r="AP188">
        <v>0</v>
      </c>
      <c r="AQ188">
        <v>11.9</v>
      </c>
      <c r="AR188">
        <v>0</v>
      </c>
      <c r="AS188">
        <v>0</v>
      </c>
      <c r="AT188">
        <v>75</v>
      </c>
      <c r="AU188">
        <v>53</v>
      </c>
      <c r="AV188">
        <v>1.087</v>
      </c>
      <c r="AW188">
        <v>1</v>
      </c>
      <c r="AX188">
        <v>1</v>
      </c>
      <c r="AY188">
        <v>13.09</v>
      </c>
      <c r="AZ188">
        <v>13.09</v>
      </c>
      <c r="BA188">
        <v>13.09</v>
      </c>
      <c r="BB188">
        <v>7.6</v>
      </c>
      <c r="BC188">
        <v>1</v>
      </c>
      <c r="BH188">
        <v>0</v>
      </c>
      <c r="BI188">
        <v>1</v>
      </c>
      <c r="BJ188" t="s">
        <v>433</v>
      </c>
      <c r="BM188">
        <v>80</v>
      </c>
      <c r="BN188">
        <v>0</v>
      </c>
      <c r="BO188" t="s">
        <v>431</v>
      </c>
      <c r="BP188">
        <v>1</v>
      </c>
      <c r="BQ188">
        <v>30</v>
      </c>
      <c r="BR188">
        <v>0</v>
      </c>
      <c r="BS188">
        <v>13.09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75</v>
      </c>
      <c r="CA188">
        <v>53</v>
      </c>
      <c r="CF188">
        <v>0</v>
      </c>
      <c r="CG188">
        <v>0</v>
      </c>
      <c r="CM188">
        <v>0</v>
      </c>
      <c r="CN188" t="s">
        <v>293</v>
      </c>
      <c r="CO188">
        <v>0</v>
      </c>
      <c r="CP188">
        <f t="shared" si="98"/>
        <v>207.21</v>
      </c>
      <c r="CQ188">
        <f t="shared" si="99"/>
        <v>0</v>
      </c>
      <c r="CR188">
        <f t="shared" si="100"/>
        <v>19.760790399999998</v>
      </c>
      <c r="CS188">
        <f t="shared" si="101"/>
        <v>8.017945705</v>
      </c>
      <c r="CT188">
        <f t="shared" si="102"/>
        <v>2570.32430886</v>
      </c>
      <c r="CU188">
        <f t="shared" si="103"/>
        <v>0</v>
      </c>
      <c r="CV188">
        <f t="shared" si="104"/>
        <v>14.875594999999999</v>
      </c>
      <c r="CW188">
        <f t="shared" si="105"/>
        <v>0</v>
      </c>
      <c r="CX188">
        <f t="shared" si="106"/>
        <v>0</v>
      </c>
      <c r="CY188">
        <f t="shared" si="107"/>
        <v>154.2225</v>
      </c>
      <c r="CZ188">
        <f t="shared" si="108"/>
        <v>108.9839</v>
      </c>
      <c r="DE188" t="s">
        <v>294</v>
      </c>
      <c r="DF188" t="s">
        <v>294</v>
      </c>
      <c r="DG188" t="s">
        <v>294</v>
      </c>
      <c r="DI188" t="s">
        <v>294</v>
      </c>
      <c r="DJ188" t="s">
        <v>294</v>
      </c>
      <c r="DN188">
        <v>87</v>
      </c>
      <c r="DO188">
        <v>105</v>
      </c>
      <c r="DP188">
        <v>1.087</v>
      </c>
      <c r="DQ188">
        <v>1</v>
      </c>
      <c r="DR188">
        <v>1</v>
      </c>
      <c r="DS188">
        <v>1</v>
      </c>
      <c r="DT188">
        <v>13.09</v>
      </c>
      <c r="DU188">
        <v>1010</v>
      </c>
      <c r="DV188" t="s">
        <v>259</v>
      </c>
      <c r="DW188" t="s">
        <v>259</v>
      </c>
      <c r="DX188">
        <v>100</v>
      </c>
      <c r="EE188">
        <v>18683634</v>
      </c>
      <c r="EF188">
        <v>30</v>
      </c>
      <c r="EG188" t="s">
        <v>44</v>
      </c>
      <c r="EH188">
        <v>0</v>
      </c>
      <c r="EJ188">
        <v>1</v>
      </c>
      <c r="EK188">
        <v>80</v>
      </c>
      <c r="EL188" t="s">
        <v>434</v>
      </c>
      <c r="EM188" t="s">
        <v>435</v>
      </c>
      <c r="EO188" t="s">
        <v>297</v>
      </c>
      <c r="EQ188">
        <v>64</v>
      </c>
      <c r="ER188">
        <v>159.16</v>
      </c>
      <c r="ES188">
        <v>0</v>
      </c>
      <c r="ET188">
        <v>2.08</v>
      </c>
      <c r="EU188">
        <v>0.49</v>
      </c>
      <c r="EV188">
        <v>157.08</v>
      </c>
      <c r="EW188">
        <v>11.9</v>
      </c>
      <c r="EX188">
        <v>0</v>
      </c>
      <c r="EY188">
        <v>0</v>
      </c>
      <c r="EZ188">
        <v>0</v>
      </c>
      <c r="FQ188">
        <v>0</v>
      </c>
      <c r="FR188">
        <f t="shared" si="109"/>
        <v>0</v>
      </c>
      <c r="FS188">
        <v>0</v>
      </c>
      <c r="FX188">
        <v>75</v>
      </c>
      <c r="FY188">
        <v>53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</row>
    <row r="189" spans="1:194" ht="12.75">
      <c r="A189">
        <v>18</v>
      </c>
      <c r="B189">
        <v>1</v>
      </c>
      <c r="C189">
        <v>91</v>
      </c>
      <c r="E189" t="s">
        <v>436</v>
      </c>
      <c r="F189" t="s">
        <v>437</v>
      </c>
      <c r="G189" t="s">
        <v>438</v>
      </c>
      <c r="H189" t="s">
        <v>439</v>
      </c>
      <c r="I189">
        <f>I188*J189</f>
        <v>2.444</v>
      </c>
      <c r="J189">
        <v>30.549999999999997</v>
      </c>
      <c r="O189">
        <f t="shared" si="86"/>
        <v>167.66</v>
      </c>
      <c r="P189">
        <f t="shared" si="87"/>
        <v>167.66</v>
      </c>
      <c r="Q189">
        <f t="shared" si="88"/>
        <v>0</v>
      </c>
      <c r="R189">
        <f t="shared" si="89"/>
        <v>0</v>
      </c>
      <c r="S189">
        <f t="shared" si="90"/>
        <v>0</v>
      </c>
      <c r="T189">
        <f t="shared" si="91"/>
        <v>0</v>
      </c>
      <c r="U189">
        <f t="shared" si="92"/>
        <v>0</v>
      </c>
      <c r="V189">
        <f t="shared" si="93"/>
        <v>0</v>
      </c>
      <c r="W189">
        <f t="shared" si="94"/>
        <v>0</v>
      </c>
      <c r="X189">
        <f t="shared" si="95"/>
        <v>0</v>
      </c>
      <c r="Y189">
        <f t="shared" si="96"/>
        <v>0</v>
      </c>
      <c r="AA189">
        <v>0</v>
      </c>
      <c r="AB189">
        <f t="shared" si="97"/>
        <v>10.41</v>
      </c>
      <c r="AC189">
        <f>AL189</f>
        <v>10.41</v>
      </c>
      <c r="AD189">
        <f>((AM189-AN189)+AE189)</f>
        <v>0</v>
      </c>
      <c r="AE189">
        <f aca="true" t="shared" si="128" ref="AE189:AJ189">AN189</f>
        <v>0</v>
      </c>
      <c r="AF189">
        <f t="shared" si="128"/>
        <v>0</v>
      </c>
      <c r="AG189">
        <f t="shared" si="128"/>
        <v>0</v>
      </c>
      <c r="AH189">
        <f t="shared" si="128"/>
        <v>0</v>
      </c>
      <c r="AI189">
        <f t="shared" si="128"/>
        <v>0</v>
      </c>
      <c r="AJ189">
        <f t="shared" si="128"/>
        <v>0</v>
      </c>
      <c r="AK189">
        <v>10.41</v>
      </c>
      <c r="AL189">
        <v>10.41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1</v>
      </c>
      <c r="AX189">
        <v>1</v>
      </c>
      <c r="AY189">
        <v>1</v>
      </c>
      <c r="AZ189">
        <v>1</v>
      </c>
      <c r="BA189">
        <v>1</v>
      </c>
      <c r="BB189">
        <v>1</v>
      </c>
      <c r="BC189">
        <v>6.59</v>
      </c>
      <c r="BH189">
        <v>3</v>
      </c>
      <c r="BI189">
        <v>1</v>
      </c>
      <c r="BJ189" t="s">
        <v>440</v>
      </c>
      <c r="BM189">
        <v>80</v>
      </c>
      <c r="BN189">
        <v>0</v>
      </c>
      <c r="BO189" t="s">
        <v>437</v>
      </c>
      <c r="BP189">
        <v>1</v>
      </c>
      <c r="BQ189">
        <v>30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0</v>
      </c>
      <c r="CA189">
        <v>0</v>
      </c>
      <c r="CF189">
        <v>0</v>
      </c>
      <c r="CG189">
        <v>0</v>
      </c>
      <c r="CM189">
        <v>0</v>
      </c>
      <c r="CO189">
        <v>0</v>
      </c>
      <c r="CP189">
        <f t="shared" si="98"/>
        <v>167.66</v>
      </c>
      <c r="CQ189">
        <f t="shared" si="99"/>
        <v>68.6019</v>
      </c>
      <c r="CR189">
        <f t="shared" si="100"/>
        <v>0</v>
      </c>
      <c r="CS189">
        <f t="shared" si="101"/>
        <v>0</v>
      </c>
      <c r="CT189">
        <f t="shared" si="102"/>
        <v>0</v>
      </c>
      <c r="CU189">
        <f t="shared" si="103"/>
        <v>0</v>
      </c>
      <c r="CV189">
        <f t="shared" si="104"/>
        <v>0</v>
      </c>
      <c r="CW189">
        <f t="shared" si="105"/>
        <v>0</v>
      </c>
      <c r="CX189">
        <f t="shared" si="106"/>
        <v>0</v>
      </c>
      <c r="CY189">
        <f t="shared" si="107"/>
        <v>0</v>
      </c>
      <c r="CZ189">
        <f t="shared" si="108"/>
        <v>0</v>
      </c>
      <c r="DN189">
        <v>87</v>
      </c>
      <c r="DO189">
        <v>105</v>
      </c>
      <c r="DP189">
        <v>1.087</v>
      </c>
      <c r="DQ189">
        <v>1</v>
      </c>
      <c r="DR189">
        <v>6.59</v>
      </c>
      <c r="DS189">
        <v>1</v>
      </c>
      <c r="DT189">
        <v>1</v>
      </c>
      <c r="DU189">
        <v>1009</v>
      </c>
      <c r="DV189" t="s">
        <v>439</v>
      </c>
      <c r="DW189" t="s">
        <v>439</v>
      </c>
      <c r="DX189">
        <v>1</v>
      </c>
      <c r="EE189">
        <v>18683634</v>
      </c>
      <c r="EF189">
        <v>30</v>
      </c>
      <c r="EG189" t="s">
        <v>44</v>
      </c>
      <c r="EH189">
        <v>0</v>
      </c>
      <c r="EJ189">
        <v>1</v>
      </c>
      <c r="EK189">
        <v>80</v>
      </c>
      <c r="EL189" t="s">
        <v>434</v>
      </c>
      <c r="EM189" t="s">
        <v>435</v>
      </c>
      <c r="EQ189">
        <v>0</v>
      </c>
      <c r="ER189">
        <v>10.41</v>
      </c>
      <c r="ES189">
        <v>10.41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0</v>
      </c>
      <c r="FQ189">
        <v>0</v>
      </c>
      <c r="FR189">
        <f t="shared" si="109"/>
        <v>0</v>
      </c>
      <c r="FS189">
        <v>0</v>
      </c>
      <c r="FX189">
        <v>0</v>
      </c>
      <c r="FY189">
        <v>0</v>
      </c>
      <c r="GA189">
        <v>10.41</v>
      </c>
      <c r="GB189">
        <v>10.41</v>
      </c>
      <c r="GC189">
        <v>0</v>
      </c>
      <c r="GD189">
        <v>0</v>
      </c>
      <c r="GE189">
        <v>0</v>
      </c>
      <c r="GF189">
        <v>10.41</v>
      </c>
      <c r="GG189">
        <v>10.41</v>
      </c>
      <c r="GH189">
        <v>0</v>
      </c>
      <c r="GI189">
        <v>0</v>
      </c>
      <c r="GJ189">
        <v>0</v>
      </c>
      <c r="GK189">
        <v>0</v>
      </c>
      <c r="GL189">
        <v>0</v>
      </c>
    </row>
    <row r="190" spans="1:194" ht="12.75">
      <c r="A190">
        <v>17</v>
      </c>
      <c r="B190">
        <v>1</v>
      </c>
      <c r="C190">
        <f>ROW(SmtRes!A92)</f>
        <v>92</v>
      </c>
      <c r="D190">
        <f>ROW(EtalonRes!A93)</f>
        <v>93</v>
      </c>
      <c r="E190" t="s">
        <v>441</v>
      </c>
      <c r="F190" t="s">
        <v>442</v>
      </c>
      <c r="G190" t="s">
        <v>443</v>
      </c>
      <c r="H190" t="s">
        <v>305</v>
      </c>
      <c r="I190">
        <v>0.004</v>
      </c>
      <c r="J190">
        <v>0</v>
      </c>
      <c r="O190">
        <f t="shared" si="86"/>
        <v>117.94</v>
      </c>
      <c r="P190">
        <f t="shared" si="87"/>
        <v>0</v>
      </c>
      <c r="Q190">
        <f t="shared" si="88"/>
        <v>117.94</v>
      </c>
      <c r="R190">
        <f t="shared" si="89"/>
        <v>89.81</v>
      </c>
      <c r="S190">
        <f t="shared" si="90"/>
        <v>0</v>
      </c>
      <c r="T190">
        <f t="shared" si="91"/>
        <v>0</v>
      </c>
      <c r="U190">
        <f t="shared" si="92"/>
        <v>0</v>
      </c>
      <c r="V190">
        <f t="shared" si="93"/>
        <v>0</v>
      </c>
      <c r="W190">
        <f t="shared" si="94"/>
        <v>0</v>
      </c>
      <c r="X190">
        <f t="shared" si="95"/>
        <v>0</v>
      </c>
      <c r="Y190">
        <f t="shared" si="96"/>
        <v>0</v>
      </c>
      <c r="AA190">
        <v>0</v>
      </c>
      <c r="AB190">
        <f t="shared" si="97"/>
        <v>2780.0099999999998</v>
      </c>
      <c r="AC190">
        <f>(ES190)</f>
        <v>0</v>
      </c>
      <c r="AD190">
        <f>((((ET190*1.15))-((EU190*1.15)))+AE190)</f>
        <v>2780.0099999999998</v>
      </c>
      <c r="AE190">
        <f>((EU190*1.15))</f>
        <v>1638.2899999999997</v>
      </c>
      <c r="AF190">
        <f>((EV190*1.15))</f>
        <v>0</v>
      </c>
      <c r="AG190">
        <f>(AP190)</f>
        <v>0</v>
      </c>
      <c r="AH190">
        <f>((EW190*1.15))</f>
        <v>0</v>
      </c>
      <c r="AI190">
        <f>((EX190*1.15))</f>
        <v>0</v>
      </c>
      <c r="AJ190">
        <f>(AS190)</f>
        <v>0</v>
      </c>
      <c r="AK190">
        <v>2417.4</v>
      </c>
      <c r="AL190">
        <v>0</v>
      </c>
      <c r="AM190">
        <v>2417.4</v>
      </c>
      <c r="AN190">
        <v>1424.6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90</v>
      </c>
      <c r="AU190">
        <v>42</v>
      </c>
      <c r="AV190">
        <v>1.047</v>
      </c>
      <c r="AW190">
        <v>1</v>
      </c>
      <c r="AX190">
        <v>1</v>
      </c>
      <c r="AY190">
        <v>13.09</v>
      </c>
      <c r="AZ190">
        <v>13.09</v>
      </c>
      <c r="BA190">
        <v>13.09</v>
      </c>
      <c r="BB190">
        <v>10.13</v>
      </c>
      <c r="BC190">
        <v>1</v>
      </c>
      <c r="BH190">
        <v>0</v>
      </c>
      <c r="BI190">
        <v>1</v>
      </c>
      <c r="BJ190" t="s">
        <v>444</v>
      </c>
      <c r="BM190">
        <v>17</v>
      </c>
      <c r="BN190">
        <v>0</v>
      </c>
      <c r="BO190" t="s">
        <v>442</v>
      </c>
      <c r="BP190">
        <v>1</v>
      </c>
      <c r="BQ190">
        <v>30</v>
      </c>
      <c r="BR190">
        <v>0</v>
      </c>
      <c r="BS190">
        <v>13.09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90</v>
      </c>
      <c r="CA190">
        <v>42</v>
      </c>
      <c r="CF190">
        <v>0</v>
      </c>
      <c r="CG190">
        <v>0</v>
      </c>
      <c r="CM190">
        <v>0</v>
      </c>
      <c r="CN190" t="s">
        <v>293</v>
      </c>
      <c r="CO190">
        <v>0</v>
      </c>
      <c r="CP190">
        <f t="shared" si="98"/>
        <v>117.94</v>
      </c>
      <c r="CQ190">
        <f t="shared" si="99"/>
        <v>0</v>
      </c>
      <c r="CR190">
        <f t="shared" si="100"/>
        <v>29485.091861099998</v>
      </c>
      <c r="CS190">
        <f t="shared" si="101"/>
        <v>22453.141256699993</v>
      </c>
      <c r="CT190">
        <f t="shared" si="102"/>
        <v>0</v>
      </c>
      <c r="CU190">
        <f t="shared" si="103"/>
        <v>0</v>
      </c>
      <c r="CV190">
        <f t="shared" si="104"/>
        <v>0</v>
      </c>
      <c r="CW190">
        <f t="shared" si="105"/>
        <v>0</v>
      </c>
      <c r="CX190">
        <f t="shared" si="106"/>
        <v>0</v>
      </c>
      <c r="CY190">
        <f t="shared" si="107"/>
        <v>0</v>
      </c>
      <c r="CZ190">
        <f t="shared" si="108"/>
        <v>0</v>
      </c>
      <c r="DE190" t="s">
        <v>294</v>
      </c>
      <c r="DF190" t="s">
        <v>294</v>
      </c>
      <c r="DG190" t="s">
        <v>294</v>
      </c>
      <c r="DI190" t="s">
        <v>294</v>
      </c>
      <c r="DJ190" t="s">
        <v>294</v>
      </c>
      <c r="DN190">
        <v>105</v>
      </c>
      <c r="DO190">
        <v>77</v>
      </c>
      <c r="DP190">
        <v>1.047</v>
      </c>
      <c r="DQ190">
        <v>1</v>
      </c>
      <c r="DR190">
        <v>1</v>
      </c>
      <c r="DS190">
        <v>1</v>
      </c>
      <c r="DT190">
        <v>13.09</v>
      </c>
      <c r="DU190">
        <v>1007</v>
      </c>
      <c r="DV190" t="s">
        <v>305</v>
      </c>
      <c r="DW190" t="s">
        <v>305</v>
      </c>
      <c r="DX190">
        <v>100</v>
      </c>
      <c r="EE190">
        <v>18683571</v>
      </c>
      <c r="EF190">
        <v>30</v>
      </c>
      <c r="EG190" t="s">
        <v>44</v>
      </c>
      <c r="EH190">
        <v>0</v>
      </c>
      <c r="EJ190">
        <v>1</v>
      </c>
      <c r="EK190">
        <v>17</v>
      </c>
      <c r="EL190" t="s">
        <v>445</v>
      </c>
      <c r="EM190" t="s">
        <v>446</v>
      </c>
      <c r="EO190" t="s">
        <v>297</v>
      </c>
      <c r="EQ190">
        <v>0</v>
      </c>
      <c r="ER190">
        <v>2417.4</v>
      </c>
      <c r="ES190">
        <v>0</v>
      </c>
      <c r="ET190">
        <v>2417.4</v>
      </c>
      <c r="EU190">
        <v>1424.6</v>
      </c>
      <c r="EV190">
        <v>0</v>
      </c>
      <c r="EW190">
        <v>0</v>
      </c>
      <c r="EX190">
        <v>0</v>
      </c>
      <c r="EY190">
        <v>0</v>
      </c>
      <c r="EZ190">
        <v>0</v>
      </c>
      <c r="FQ190">
        <v>0</v>
      </c>
      <c r="FR190">
        <f t="shared" si="109"/>
        <v>0</v>
      </c>
      <c r="FS190">
        <v>0</v>
      </c>
      <c r="FX190">
        <v>90</v>
      </c>
      <c r="FY190">
        <v>42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</row>
    <row r="191" spans="1:194" ht="12.75">
      <c r="A191">
        <v>17</v>
      </c>
      <c r="B191">
        <v>1</v>
      </c>
      <c r="C191">
        <f>ROW(SmtRes!A93)</f>
        <v>93</v>
      </c>
      <c r="D191">
        <f>ROW(EtalonRes!A94)</f>
        <v>94</v>
      </c>
      <c r="E191" t="s">
        <v>447</v>
      </c>
      <c r="F191" t="s">
        <v>448</v>
      </c>
      <c r="G191" t="s">
        <v>449</v>
      </c>
      <c r="H191" t="s">
        <v>34</v>
      </c>
      <c r="I191">
        <v>0.2</v>
      </c>
      <c r="J191">
        <v>0</v>
      </c>
      <c r="O191">
        <f t="shared" si="86"/>
        <v>504.63</v>
      </c>
      <c r="P191">
        <f t="shared" si="87"/>
        <v>0</v>
      </c>
      <c r="Q191">
        <f t="shared" si="88"/>
        <v>0</v>
      </c>
      <c r="R191">
        <f t="shared" si="89"/>
        <v>0</v>
      </c>
      <c r="S191">
        <f t="shared" si="90"/>
        <v>504.63</v>
      </c>
      <c r="T191">
        <f t="shared" si="91"/>
        <v>0</v>
      </c>
      <c r="U191">
        <f t="shared" si="92"/>
        <v>3.6645</v>
      </c>
      <c r="V191">
        <f t="shared" si="93"/>
        <v>0</v>
      </c>
      <c r="W191">
        <f t="shared" si="94"/>
        <v>0</v>
      </c>
      <c r="X191">
        <f t="shared" si="95"/>
        <v>393.61</v>
      </c>
      <c r="Y191">
        <f t="shared" si="96"/>
        <v>211.94</v>
      </c>
      <c r="AA191">
        <v>0</v>
      </c>
      <c r="AB191">
        <f t="shared" si="97"/>
        <v>184.1</v>
      </c>
      <c r="AC191">
        <f>(ES191)</f>
        <v>0</v>
      </c>
      <c r="AD191">
        <f>(((ET191)-(EU191))+AE191)</f>
        <v>0</v>
      </c>
      <c r="AE191">
        <f>(EU191)</f>
        <v>0</v>
      </c>
      <c r="AF191">
        <f>(EV191)</f>
        <v>184.1</v>
      </c>
      <c r="AG191">
        <f>(AP191)</f>
        <v>0</v>
      </c>
      <c r="AH191">
        <f>(EW191)</f>
        <v>17.5</v>
      </c>
      <c r="AI191">
        <f>(EX191)</f>
        <v>0</v>
      </c>
      <c r="AJ191">
        <f>(AS191)</f>
        <v>0</v>
      </c>
      <c r="AK191">
        <v>184.1</v>
      </c>
      <c r="AL191">
        <v>0</v>
      </c>
      <c r="AM191">
        <v>0</v>
      </c>
      <c r="AN191">
        <v>0</v>
      </c>
      <c r="AO191">
        <v>184.1</v>
      </c>
      <c r="AP191">
        <v>0</v>
      </c>
      <c r="AQ191">
        <v>17.5</v>
      </c>
      <c r="AR191">
        <v>0</v>
      </c>
      <c r="AS191">
        <v>0</v>
      </c>
      <c r="AT191">
        <v>78</v>
      </c>
      <c r="AU191">
        <v>42</v>
      </c>
      <c r="AV191">
        <v>1.047</v>
      </c>
      <c r="AW191">
        <v>1.002</v>
      </c>
      <c r="AX191">
        <v>1</v>
      </c>
      <c r="AY191">
        <v>13.09</v>
      </c>
      <c r="AZ191">
        <v>13.09</v>
      </c>
      <c r="BA191">
        <v>13.09</v>
      </c>
      <c r="BB191">
        <v>1</v>
      </c>
      <c r="BC191">
        <v>1</v>
      </c>
      <c r="BH191">
        <v>0</v>
      </c>
      <c r="BI191">
        <v>1</v>
      </c>
      <c r="BJ191" t="s">
        <v>450</v>
      </c>
      <c r="BM191">
        <v>682</v>
      </c>
      <c r="BN191">
        <v>0</v>
      </c>
      <c r="BO191" t="s">
        <v>448</v>
      </c>
      <c r="BP191">
        <v>1</v>
      </c>
      <c r="BQ191">
        <v>60</v>
      </c>
      <c r="BR191">
        <v>0</v>
      </c>
      <c r="BS191">
        <v>13.09</v>
      </c>
      <c r="BT191">
        <v>1</v>
      </c>
      <c r="BU191">
        <v>1</v>
      </c>
      <c r="BV191">
        <v>1</v>
      </c>
      <c r="BW191">
        <v>1</v>
      </c>
      <c r="BX191">
        <v>1</v>
      </c>
      <c r="BZ191">
        <v>78</v>
      </c>
      <c r="CA191">
        <v>42</v>
      </c>
      <c r="CF191">
        <v>0</v>
      </c>
      <c r="CG191">
        <v>0</v>
      </c>
      <c r="CM191">
        <v>0</v>
      </c>
      <c r="CO191">
        <v>0</v>
      </c>
      <c r="CP191">
        <f t="shared" si="98"/>
        <v>504.63</v>
      </c>
      <c r="CQ191">
        <f t="shared" si="99"/>
        <v>0</v>
      </c>
      <c r="CR191">
        <f t="shared" si="100"/>
        <v>0</v>
      </c>
      <c r="CS191">
        <f t="shared" si="101"/>
        <v>0</v>
      </c>
      <c r="CT191">
        <f t="shared" si="102"/>
        <v>2523.132843</v>
      </c>
      <c r="CU191">
        <f t="shared" si="103"/>
        <v>0</v>
      </c>
      <c r="CV191">
        <f t="shared" si="104"/>
        <v>18.322499999999998</v>
      </c>
      <c r="CW191">
        <f t="shared" si="105"/>
        <v>0</v>
      </c>
      <c r="CX191">
        <f t="shared" si="106"/>
        <v>0</v>
      </c>
      <c r="CY191">
        <f t="shared" si="107"/>
        <v>393.6114</v>
      </c>
      <c r="CZ191">
        <f t="shared" si="108"/>
        <v>211.94459999999998</v>
      </c>
      <c r="DN191">
        <v>91</v>
      </c>
      <c r="DO191">
        <v>70</v>
      </c>
      <c r="DP191">
        <v>1.047</v>
      </c>
      <c r="DQ191">
        <v>1.002</v>
      </c>
      <c r="DR191">
        <v>1</v>
      </c>
      <c r="DS191">
        <v>1</v>
      </c>
      <c r="DT191">
        <v>13.09</v>
      </c>
      <c r="DU191">
        <v>1007</v>
      </c>
      <c r="DV191" t="s">
        <v>34</v>
      </c>
      <c r="DW191" t="s">
        <v>34</v>
      </c>
      <c r="DX191">
        <v>1</v>
      </c>
      <c r="EE191">
        <v>18684236</v>
      </c>
      <c r="EF191">
        <v>60</v>
      </c>
      <c r="EG191" t="s">
        <v>36</v>
      </c>
      <c r="EH191">
        <v>0</v>
      </c>
      <c r="EJ191">
        <v>1</v>
      </c>
      <c r="EK191">
        <v>682</v>
      </c>
      <c r="EL191" t="s">
        <v>451</v>
      </c>
      <c r="EM191" t="s">
        <v>452</v>
      </c>
      <c r="EQ191">
        <v>64</v>
      </c>
      <c r="ER191">
        <v>184.1</v>
      </c>
      <c r="ES191">
        <v>0</v>
      </c>
      <c r="ET191">
        <v>0</v>
      </c>
      <c r="EU191">
        <v>0</v>
      </c>
      <c r="EV191">
        <v>184.1</v>
      </c>
      <c r="EW191">
        <v>17.5</v>
      </c>
      <c r="EX191">
        <v>0</v>
      </c>
      <c r="EY191">
        <v>0</v>
      </c>
      <c r="EZ191">
        <v>0</v>
      </c>
      <c r="FQ191">
        <v>0</v>
      </c>
      <c r="FR191">
        <f t="shared" si="109"/>
        <v>0</v>
      </c>
      <c r="FS191">
        <v>0</v>
      </c>
      <c r="FX191">
        <v>78</v>
      </c>
      <c r="FY191">
        <v>42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</row>
    <row r="193" spans="1:43" ht="12.75">
      <c r="A193" s="2">
        <v>51</v>
      </c>
      <c r="B193" s="2">
        <f>B155</f>
        <v>1</v>
      </c>
      <c r="C193" s="2">
        <f>A155</f>
        <v>4</v>
      </c>
      <c r="D193" s="2">
        <f>ROW(A155)</f>
        <v>155</v>
      </c>
      <c r="E193" s="2"/>
      <c r="F193" s="2" t="str">
        <f>IF(F155&lt;&gt;"",F155,"")</f>
        <v>Новый раздел</v>
      </c>
      <c r="G193" s="2" t="str">
        <f>IF(G155&lt;&gt;"",G155,"")</f>
        <v>Строительные работы</v>
      </c>
      <c r="H193" s="2"/>
      <c r="I193" s="2"/>
      <c r="J193" s="2"/>
      <c r="K193" s="2"/>
      <c r="L193" s="2"/>
      <c r="M193" s="2"/>
      <c r="N193" s="2"/>
      <c r="O193" s="2">
        <f aca="true" t="shared" si="129" ref="O193:Y193">ROUND(AB193,2)</f>
        <v>16154.92</v>
      </c>
      <c r="P193" s="2">
        <f t="shared" si="129"/>
        <v>8003.25</v>
      </c>
      <c r="Q193" s="2">
        <f t="shared" si="129"/>
        <v>4459.27</v>
      </c>
      <c r="R193" s="2">
        <f t="shared" si="129"/>
        <v>947.07</v>
      </c>
      <c r="S193" s="2">
        <f t="shared" si="129"/>
        <v>3692.4</v>
      </c>
      <c r="T193" s="2">
        <f t="shared" si="129"/>
        <v>0</v>
      </c>
      <c r="U193" s="2">
        <f t="shared" si="129"/>
        <v>25.55</v>
      </c>
      <c r="V193" s="2">
        <f t="shared" si="129"/>
        <v>0</v>
      </c>
      <c r="W193" s="2">
        <f t="shared" si="129"/>
        <v>0</v>
      </c>
      <c r="X193" s="2">
        <f t="shared" si="129"/>
        <v>3458.69</v>
      </c>
      <c r="Y193" s="2">
        <f t="shared" si="129"/>
        <v>1616.29</v>
      </c>
      <c r="Z193" s="2"/>
      <c r="AA193" s="2"/>
      <c r="AB193" s="2">
        <f>ROUND(SUMIF(AA159:AA191,"=0",O159:O191),2)</f>
        <v>16154.92</v>
      </c>
      <c r="AC193" s="2">
        <f>ROUND(SUMIF(AA159:AA191,"=0",P159:P191),2)</f>
        <v>8003.25</v>
      </c>
      <c r="AD193" s="2">
        <f>ROUND(SUMIF(AA159:AA191,"=0",Q159:Q191),2)</f>
        <v>4459.27</v>
      </c>
      <c r="AE193" s="2">
        <f>ROUND(SUMIF(AA159:AA191,"=0",R159:R191),2)</f>
        <v>947.07</v>
      </c>
      <c r="AF193" s="2">
        <f>ROUND(SUMIF(AA159:AA191,"=0",S159:S191),2)</f>
        <v>3692.4</v>
      </c>
      <c r="AG193" s="2">
        <f>ROUND(SUMIF(AA159:AA191,"=0",T159:T191),2)</f>
        <v>0</v>
      </c>
      <c r="AH193" s="2">
        <f>ROUND(SUMIF(AA159:AA191,"=0",U159:U191),2)</f>
        <v>25.55</v>
      </c>
      <c r="AI193" s="2">
        <f>ROUND(SUMIF(AA159:AA191,"=0",V159:V191),2)</f>
        <v>0</v>
      </c>
      <c r="AJ193" s="2">
        <f>ROUND(SUMIF(AA159:AA191,"=0",W159:W191),2)</f>
        <v>0</v>
      </c>
      <c r="AK193" s="2">
        <f>ROUND(SUMIF(AA159:AA191,"=0",X159:X191),2)</f>
        <v>3458.69</v>
      </c>
      <c r="AL193" s="2">
        <f>ROUND(SUMIF(AA159:AA191,"=0",Y159:Y191),2)</f>
        <v>1616.29</v>
      </c>
      <c r="AM193" s="2"/>
      <c r="AN193" s="2">
        <f>ROUND(AO193,2)</f>
        <v>0</v>
      </c>
      <c r="AO193" s="2">
        <f>ROUND(SUMIF(AA159:AA191,"=0",FQ159:FQ191),2)</f>
        <v>0</v>
      </c>
      <c r="AP193" s="2">
        <f>ROUND(AQ193,2)</f>
        <v>0</v>
      </c>
      <c r="AQ193" s="2">
        <f>ROUND(SUM(FR159:FR191),2)</f>
        <v>0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201</v>
      </c>
      <c r="F195" s="3">
        <f>Source!O193</f>
        <v>16154.92</v>
      </c>
      <c r="G195" s="3" t="s">
        <v>53</v>
      </c>
      <c r="H195" s="3" t="s">
        <v>54</v>
      </c>
      <c r="I195" s="3"/>
      <c r="J195" s="3"/>
      <c r="K195" s="3">
        <v>201</v>
      </c>
      <c r="L195" s="3">
        <v>1</v>
      </c>
      <c r="M195" s="3">
        <v>3</v>
      </c>
      <c r="N195" s="3" t="s">
        <v>6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202</v>
      </c>
      <c r="F196" s="3">
        <f>Source!P193</f>
        <v>8003.25</v>
      </c>
      <c r="G196" s="3" t="s">
        <v>55</v>
      </c>
      <c r="H196" s="3" t="s">
        <v>56</v>
      </c>
      <c r="I196" s="3"/>
      <c r="J196" s="3"/>
      <c r="K196" s="3">
        <v>202</v>
      </c>
      <c r="L196" s="3">
        <v>2</v>
      </c>
      <c r="M196" s="3">
        <v>3</v>
      </c>
      <c r="N196" s="3" t="s">
        <v>6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222</v>
      </c>
      <c r="F197" s="3">
        <f>Source!AN193</f>
        <v>0</v>
      </c>
      <c r="G197" s="3" t="s">
        <v>57</v>
      </c>
      <c r="H197" s="3" t="s">
        <v>58</v>
      </c>
      <c r="I197" s="3"/>
      <c r="J197" s="3"/>
      <c r="K197" s="3">
        <v>222</v>
      </c>
      <c r="L197" s="3">
        <v>3</v>
      </c>
      <c r="M197" s="3">
        <v>3</v>
      </c>
      <c r="N197" s="3" t="s">
        <v>6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216</v>
      </c>
      <c r="F198" s="3">
        <f>Source!AP193</f>
        <v>0</v>
      </c>
      <c r="G198" s="3" t="s">
        <v>59</v>
      </c>
      <c r="H198" s="3" t="s">
        <v>60</v>
      </c>
      <c r="I198" s="3"/>
      <c r="J198" s="3"/>
      <c r="K198" s="3">
        <v>216</v>
      </c>
      <c r="L198" s="3">
        <v>4</v>
      </c>
      <c r="M198" s="3">
        <v>3</v>
      </c>
      <c r="N198" s="3" t="s">
        <v>6</v>
      </c>
    </row>
    <row r="199" spans="1:14" ht="12.75">
      <c r="A199" s="3">
        <v>50</v>
      </c>
      <c r="B199" s="3">
        <v>0</v>
      </c>
      <c r="C199" s="3">
        <v>0</v>
      </c>
      <c r="D199" s="3">
        <v>1</v>
      </c>
      <c r="E199" s="3">
        <v>203</v>
      </c>
      <c r="F199" s="3">
        <f>Source!Q193</f>
        <v>4459.27</v>
      </c>
      <c r="G199" s="3" t="s">
        <v>61</v>
      </c>
      <c r="H199" s="3" t="s">
        <v>62</v>
      </c>
      <c r="I199" s="3"/>
      <c r="J199" s="3"/>
      <c r="K199" s="3">
        <v>203</v>
      </c>
      <c r="L199" s="3">
        <v>6</v>
      </c>
      <c r="M199" s="3">
        <v>3</v>
      </c>
      <c r="N199" s="3" t="s">
        <v>6</v>
      </c>
    </row>
    <row r="200" spans="1:14" ht="12.75">
      <c r="A200" s="3">
        <v>50</v>
      </c>
      <c r="B200" s="3">
        <v>0</v>
      </c>
      <c r="C200" s="3">
        <v>0</v>
      </c>
      <c r="D200" s="3">
        <v>1</v>
      </c>
      <c r="E200" s="3">
        <v>204</v>
      </c>
      <c r="F200" s="3">
        <f>Source!R193</f>
        <v>947.07</v>
      </c>
      <c r="G200" s="3" t="s">
        <v>63</v>
      </c>
      <c r="H200" s="3" t="s">
        <v>64</v>
      </c>
      <c r="I200" s="3"/>
      <c r="J200" s="3"/>
      <c r="K200" s="3">
        <v>204</v>
      </c>
      <c r="L200" s="3">
        <v>7</v>
      </c>
      <c r="M200" s="3">
        <v>3</v>
      </c>
      <c r="N200" s="3" t="s">
        <v>6</v>
      </c>
    </row>
    <row r="201" spans="1:14" ht="12.75">
      <c r="A201" s="3">
        <v>50</v>
      </c>
      <c r="B201" s="3">
        <v>0</v>
      </c>
      <c r="C201" s="3">
        <v>0</v>
      </c>
      <c r="D201" s="3">
        <v>1</v>
      </c>
      <c r="E201" s="3">
        <v>205</v>
      </c>
      <c r="F201" s="3">
        <f>Source!S193</f>
        <v>3692.4</v>
      </c>
      <c r="G201" s="3" t="s">
        <v>65</v>
      </c>
      <c r="H201" s="3" t="s">
        <v>66</v>
      </c>
      <c r="I201" s="3"/>
      <c r="J201" s="3"/>
      <c r="K201" s="3">
        <v>205</v>
      </c>
      <c r="L201" s="3">
        <v>8</v>
      </c>
      <c r="M201" s="3">
        <v>3</v>
      </c>
      <c r="N201" s="3" t="s">
        <v>6</v>
      </c>
    </row>
    <row r="202" spans="1:14" ht="12.75">
      <c r="A202" s="3">
        <v>50</v>
      </c>
      <c r="B202" s="3">
        <v>0</v>
      </c>
      <c r="C202" s="3">
        <v>0</v>
      </c>
      <c r="D202" s="3">
        <v>1</v>
      </c>
      <c r="E202" s="3">
        <v>206</v>
      </c>
      <c r="F202" s="3">
        <f>Source!T193</f>
        <v>0</v>
      </c>
      <c r="G202" s="3" t="s">
        <v>67</v>
      </c>
      <c r="H202" s="3" t="s">
        <v>68</v>
      </c>
      <c r="I202" s="3"/>
      <c r="J202" s="3"/>
      <c r="K202" s="3">
        <v>206</v>
      </c>
      <c r="L202" s="3">
        <v>12</v>
      </c>
      <c r="M202" s="3">
        <v>3</v>
      </c>
      <c r="N202" s="3" t="s">
        <v>6</v>
      </c>
    </row>
    <row r="203" spans="1:14" ht="12.75">
      <c r="A203" s="3">
        <v>50</v>
      </c>
      <c r="B203" s="3">
        <v>0</v>
      </c>
      <c r="C203" s="3">
        <v>0</v>
      </c>
      <c r="D203" s="3">
        <v>1</v>
      </c>
      <c r="E203" s="3">
        <v>207</v>
      </c>
      <c r="F203" s="3">
        <f>Source!U193</f>
        <v>25.55</v>
      </c>
      <c r="G203" s="3" t="s">
        <v>69</v>
      </c>
      <c r="H203" s="3" t="s">
        <v>70</v>
      </c>
      <c r="I203" s="3"/>
      <c r="J203" s="3"/>
      <c r="K203" s="3">
        <v>207</v>
      </c>
      <c r="L203" s="3">
        <v>13</v>
      </c>
      <c r="M203" s="3">
        <v>3</v>
      </c>
      <c r="N203" s="3" t="s">
        <v>6</v>
      </c>
    </row>
    <row r="204" spans="1:14" ht="12.75">
      <c r="A204" s="3">
        <v>50</v>
      </c>
      <c r="B204" s="3">
        <v>0</v>
      </c>
      <c r="C204" s="3">
        <v>0</v>
      </c>
      <c r="D204" s="3">
        <v>1</v>
      </c>
      <c r="E204" s="3">
        <v>208</v>
      </c>
      <c r="F204" s="3">
        <f>Source!V193</f>
        <v>0</v>
      </c>
      <c r="G204" s="3" t="s">
        <v>71</v>
      </c>
      <c r="H204" s="3" t="s">
        <v>72</v>
      </c>
      <c r="I204" s="3"/>
      <c r="J204" s="3"/>
      <c r="K204" s="3">
        <v>208</v>
      </c>
      <c r="L204" s="3">
        <v>14</v>
      </c>
      <c r="M204" s="3">
        <v>3</v>
      </c>
      <c r="N204" s="3" t="s">
        <v>6</v>
      </c>
    </row>
    <row r="205" spans="1:14" ht="12.75">
      <c r="A205" s="3">
        <v>50</v>
      </c>
      <c r="B205" s="3">
        <v>0</v>
      </c>
      <c r="C205" s="3">
        <v>0</v>
      </c>
      <c r="D205" s="3">
        <v>1</v>
      </c>
      <c r="E205" s="3">
        <v>209</v>
      </c>
      <c r="F205" s="3">
        <f>Source!W193</f>
        <v>0</v>
      </c>
      <c r="G205" s="3" t="s">
        <v>73</v>
      </c>
      <c r="H205" s="3" t="s">
        <v>74</v>
      </c>
      <c r="I205" s="3"/>
      <c r="J205" s="3"/>
      <c r="K205" s="3">
        <v>209</v>
      </c>
      <c r="L205" s="3">
        <v>15</v>
      </c>
      <c r="M205" s="3">
        <v>3</v>
      </c>
      <c r="N205" s="3" t="s">
        <v>6</v>
      </c>
    </row>
    <row r="206" spans="1:14" ht="12.75">
      <c r="A206" s="3">
        <v>50</v>
      </c>
      <c r="B206" s="3">
        <v>0</v>
      </c>
      <c r="C206" s="3">
        <v>0</v>
      </c>
      <c r="D206" s="3">
        <v>1</v>
      </c>
      <c r="E206" s="3">
        <v>210</v>
      </c>
      <c r="F206" s="3">
        <f>Source!X193</f>
        <v>3458.69</v>
      </c>
      <c r="G206" s="3" t="s">
        <v>75</v>
      </c>
      <c r="H206" s="3" t="s">
        <v>76</v>
      </c>
      <c r="I206" s="3"/>
      <c r="J206" s="3"/>
      <c r="K206" s="3">
        <v>210</v>
      </c>
      <c r="L206" s="3">
        <v>16</v>
      </c>
      <c r="M206" s="3">
        <v>3</v>
      </c>
      <c r="N206" s="3" t="s">
        <v>6</v>
      </c>
    </row>
    <row r="207" spans="1:14" ht="12.75">
      <c r="A207" s="3">
        <v>50</v>
      </c>
      <c r="B207" s="3">
        <v>0</v>
      </c>
      <c r="C207" s="3">
        <v>0</v>
      </c>
      <c r="D207" s="3">
        <v>1</v>
      </c>
      <c r="E207" s="3">
        <v>211</v>
      </c>
      <c r="F207" s="3">
        <f>Source!Y193</f>
        <v>1616.29</v>
      </c>
      <c r="G207" s="3" t="s">
        <v>77</v>
      </c>
      <c r="H207" s="3" t="s">
        <v>78</v>
      </c>
      <c r="I207" s="3"/>
      <c r="J207" s="3"/>
      <c r="K207" s="3">
        <v>211</v>
      </c>
      <c r="L207" s="3">
        <v>17</v>
      </c>
      <c r="M207" s="3">
        <v>3</v>
      </c>
      <c r="N207" s="3" t="s">
        <v>6</v>
      </c>
    </row>
    <row r="208" ht="12.75">
      <c r="G208">
        <v>0</v>
      </c>
    </row>
    <row r="209" spans="1:67" ht="12.75">
      <c r="A209" s="1">
        <v>4</v>
      </c>
      <c r="B209" s="1">
        <v>1</v>
      </c>
      <c r="C209" s="1"/>
      <c r="D209" s="1">
        <f>ROW(A218)</f>
        <v>218</v>
      </c>
      <c r="E209" s="1"/>
      <c r="F209" s="1" t="s">
        <v>16</v>
      </c>
      <c r="G209" s="1" t="s">
        <v>453</v>
      </c>
      <c r="H209" s="1"/>
      <c r="I209" s="1"/>
      <c r="J209" s="1"/>
      <c r="K209" s="1"/>
      <c r="L209" s="1"/>
      <c r="M209" s="1"/>
      <c r="N209" s="1" t="s">
        <v>6</v>
      </c>
      <c r="O209" s="1"/>
      <c r="P209" s="1"/>
      <c r="Q209" s="1"/>
      <c r="R209" s="1" t="s">
        <v>6</v>
      </c>
      <c r="S209" s="1" t="s">
        <v>6</v>
      </c>
      <c r="T209" s="1" t="s">
        <v>6</v>
      </c>
      <c r="U209" s="1" t="s">
        <v>6</v>
      </c>
      <c r="V209" s="1"/>
      <c r="W209" s="1"/>
      <c r="X209" s="1">
        <v>0</v>
      </c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>
        <v>0</v>
      </c>
      <c r="AM209" s="1"/>
      <c r="AN209" s="1"/>
      <c r="AO209" s="1" t="s">
        <v>6</v>
      </c>
      <c r="AP209" s="1" t="s">
        <v>6</v>
      </c>
      <c r="AQ209" s="1" t="s">
        <v>6</v>
      </c>
      <c r="AR209" s="1"/>
      <c r="AS209" s="1"/>
      <c r="AT209" s="1" t="s">
        <v>6</v>
      </c>
      <c r="AU209" s="1" t="s">
        <v>6</v>
      </c>
      <c r="AV209" s="1" t="s">
        <v>6</v>
      </c>
      <c r="AW209" s="1" t="s">
        <v>6</v>
      </c>
      <c r="AX209" s="1" t="s">
        <v>6</v>
      </c>
      <c r="AY209" s="1" t="s">
        <v>6</v>
      </c>
      <c r="AZ209" s="1" t="s">
        <v>6</v>
      </c>
      <c r="BA209" s="1" t="s">
        <v>6</v>
      </c>
      <c r="BB209" s="1" t="s">
        <v>6</v>
      </c>
      <c r="BC209" s="1" t="s">
        <v>6</v>
      </c>
      <c r="BD209" s="1" t="s">
        <v>6</v>
      </c>
      <c r="BE209" s="1" t="s">
        <v>454</v>
      </c>
      <c r="BF209" s="1">
        <v>0</v>
      </c>
      <c r="BG209" s="1">
        <v>0</v>
      </c>
      <c r="BH209" s="1" t="s">
        <v>6</v>
      </c>
      <c r="BI209" s="1" t="s">
        <v>6</v>
      </c>
      <c r="BJ209" s="1" t="s">
        <v>6</v>
      </c>
      <c r="BK209" s="1" t="s">
        <v>6</v>
      </c>
      <c r="BL209" s="1" t="s">
        <v>6</v>
      </c>
      <c r="BM209" s="1">
        <v>0</v>
      </c>
      <c r="BN209" s="1" t="s">
        <v>6</v>
      </c>
      <c r="BO209" s="1">
        <v>0</v>
      </c>
    </row>
    <row r="211" spans="1:43" ht="12.75">
      <c r="A211" s="2">
        <v>52</v>
      </c>
      <c r="B211" s="2">
        <f aca="true" t="shared" si="130" ref="B211:AQ211">B218</f>
        <v>1</v>
      </c>
      <c r="C211" s="2">
        <f t="shared" si="130"/>
        <v>4</v>
      </c>
      <c r="D211" s="2">
        <f t="shared" si="130"/>
        <v>209</v>
      </c>
      <c r="E211" s="2">
        <f t="shared" si="130"/>
        <v>0</v>
      </c>
      <c r="F211" s="2" t="str">
        <f t="shared" si="130"/>
        <v>Новый раздел</v>
      </c>
      <c r="G211" s="2" t="str">
        <f t="shared" si="130"/>
        <v>Электротехнические пусконаладочные работы</v>
      </c>
      <c r="H211" s="2">
        <f t="shared" si="130"/>
        <v>0</v>
      </c>
      <c r="I211" s="2">
        <f t="shared" si="130"/>
        <v>0</v>
      </c>
      <c r="J211" s="2">
        <f t="shared" si="130"/>
        <v>0</v>
      </c>
      <c r="K211" s="2">
        <f t="shared" si="130"/>
        <v>0</v>
      </c>
      <c r="L211" s="2">
        <f t="shared" si="130"/>
        <v>0</v>
      </c>
      <c r="M211" s="2">
        <f t="shared" si="130"/>
        <v>0</v>
      </c>
      <c r="N211" s="2">
        <f t="shared" si="130"/>
        <v>0</v>
      </c>
      <c r="O211" s="2">
        <f t="shared" si="130"/>
        <v>475.74</v>
      </c>
      <c r="P211" s="2">
        <f t="shared" si="130"/>
        <v>0</v>
      </c>
      <c r="Q211" s="2">
        <f t="shared" si="130"/>
        <v>0</v>
      </c>
      <c r="R211" s="2">
        <f t="shared" si="130"/>
        <v>0</v>
      </c>
      <c r="S211" s="2">
        <f t="shared" si="130"/>
        <v>475.74</v>
      </c>
      <c r="T211" s="2">
        <f t="shared" si="130"/>
        <v>0</v>
      </c>
      <c r="U211" s="2">
        <f t="shared" si="130"/>
        <v>2.3</v>
      </c>
      <c r="V211" s="2">
        <f t="shared" si="130"/>
        <v>0</v>
      </c>
      <c r="W211" s="2">
        <f t="shared" si="130"/>
        <v>0</v>
      </c>
      <c r="X211" s="2">
        <f t="shared" si="130"/>
        <v>347.29</v>
      </c>
      <c r="Y211" s="2">
        <f t="shared" si="130"/>
        <v>199.8</v>
      </c>
      <c r="Z211" s="2">
        <f t="shared" si="130"/>
        <v>0</v>
      </c>
      <c r="AA211" s="2">
        <f t="shared" si="130"/>
        <v>0</v>
      </c>
      <c r="AB211" s="2">
        <f t="shared" si="130"/>
        <v>475.74</v>
      </c>
      <c r="AC211" s="2">
        <f t="shared" si="130"/>
        <v>0</v>
      </c>
      <c r="AD211" s="2">
        <f t="shared" si="130"/>
        <v>0</v>
      </c>
      <c r="AE211" s="2">
        <f t="shared" si="130"/>
        <v>0</v>
      </c>
      <c r="AF211" s="2">
        <f t="shared" si="130"/>
        <v>475.74</v>
      </c>
      <c r="AG211" s="2">
        <f t="shared" si="130"/>
        <v>0</v>
      </c>
      <c r="AH211" s="2">
        <f t="shared" si="130"/>
        <v>2.3</v>
      </c>
      <c r="AI211" s="2">
        <f t="shared" si="130"/>
        <v>0</v>
      </c>
      <c r="AJ211" s="2">
        <f t="shared" si="130"/>
        <v>0</v>
      </c>
      <c r="AK211" s="2">
        <f t="shared" si="130"/>
        <v>347.29</v>
      </c>
      <c r="AL211" s="2">
        <f t="shared" si="130"/>
        <v>199.8</v>
      </c>
      <c r="AM211" s="2">
        <f t="shared" si="130"/>
        <v>0</v>
      </c>
      <c r="AN211" s="2">
        <f t="shared" si="130"/>
        <v>0</v>
      </c>
      <c r="AO211" s="2">
        <f t="shared" si="130"/>
        <v>0</v>
      </c>
      <c r="AP211" s="2">
        <f t="shared" si="130"/>
        <v>0</v>
      </c>
      <c r="AQ211" s="2">
        <f t="shared" si="130"/>
        <v>0</v>
      </c>
    </row>
    <row r="213" spans="1:194" ht="12.75">
      <c r="A213">
        <v>17</v>
      </c>
      <c r="B213">
        <v>1</v>
      </c>
      <c r="E213" t="s">
        <v>455</v>
      </c>
      <c r="F213" t="s">
        <v>456</v>
      </c>
      <c r="G213" t="s">
        <v>457</v>
      </c>
      <c r="H213" t="s">
        <v>458</v>
      </c>
      <c r="I213">
        <v>1</v>
      </c>
      <c r="J213">
        <v>0</v>
      </c>
      <c r="O213">
        <f>ROUND(CP213,2)</f>
        <v>165.77</v>
      </c>
      <c r="P213">
        <f>ROUND(CQ213*I213,2)</f>
        <v>0</v>
      </c>
      <c r="Q213">
        <f>ROUND(CR213*I213,2)</f>
        <v>0</v>
      </c>
      <c r="R213">
        <f>ROUND(CS213*I213,2)</f>
        <v>0</v>
      </c>
      <c r="S213">
        <f>ROUND(CT213*I213,2)</f>
        <v>165.77</v>
      </c>
      <c r="T213">
        <f>ROUND(CU213*I213,2)</f>
        <v>0</v>
      </c>
      <c r="U213">
        <f>CV213*I213</f>
        <v>0.8</v>
      </c>
      <c r="V213">
        <f>CW213*I213</f>
        <v>0</v>
      </c>
      <c r="W213">
        <f>ROUND(CX213*I213,2)</f>
        <v>0</v>
      </c>
      <c r="X213">
        <f aca="true" t="shared" si="131" ref="X213:Y216">ROUND(CY213,2)</f>
        <v>121.01</v>
      </c>
      <c r="Y213">
        <f t="shared" si="131"/>
        <v>69.62</v>
      </c>
      <c r="AA213">
        <v>0</v>
      </c>
      <c r="AB213">
        <f>(AC213+AD213+AF213)</f>
        <v>12.664000000000001</v>
      </c>
      <c r="AC213">
        <f>(ES213)</f>
        <v>0</v>
      </c>
      <c r="AD213">
        <f>(((ET213)-(EU213))+AE213)</f>
        <v>0</v>
      </c>
      <c r="AE213">
        <f>(EU213)</f>
        <v>0</v>
      </c>
      <c r="AF213">
        <f>((EV213*0.8))</f>
        <v>12.664000000000001</v>
      </c>
      <c r="AG213">
        <f>(AP213)</f>
        <v>0</v>
      </c>
      <c r="AH213">
        <f>((EW213*0.8))</f>
        <v>0.8</v>
      </c>
      <c r="AI213">
        <f>(EX213)</f>
        <v>0</v>
      </c>
      <c r="AJ213">
        <f>(AS213)</f>
        <v>0</v>
      </c>
      <c r="AK213">
        <v>15.83</v>
      </c>
      <c r="AL213">
        <v>0</v>
      </c>
      <c r="AM213">
        <v>0</v>
      </c>
      <c r="AN213">
        <v>0</v>
      </c>
      <c r="AO213">
        <v>15.83</v>
      </c>
      <c r="AP213">
        <v>0</v>
      </c>
      <c r="AQ213">
        <v>1</v>
      </c>
      <c r="AR213">
        <v>0</v>
      </c>
      <c r="AS213">
        <v>0</v>
      </c>
      <c r="AT213">
        <v>73</v>
      </c>
      <c r="AU213">
        <v>42</v>
      </c>
      <c r="AV213">
        <v>1</v>
      </c>
      <c r="AW213">
        <v>1</v>
      </c>
      <c r="AX213">
        <v>13.09</v>
      </c>
      <c r="AY213">
        <v>13.09</v>
      </c>
      <c r="AZ213">
        <v>13.09</v>
      </c>
      <c r="BA213">
        <v>13.09</v>
      </c>
      <c r="BB213">
        <v>13.09</v>
      </c>
      <c r="BC213">
        <v>13.09</v>
      </c>
      <c r="BH213">
        <v>0</v>
      </c>
      <c r="BI213">
        <v>4</v>
      </c>
      <c r="BJ213" t="s">
        <v>459</v>
      </c>
      <c r="BM213">
        <v>381</v>
      </c>
      <c r="BN213">
        <v>0</v>
      </c>
      <c r="BO213" t="s">
        <v>456</v>
      </c>
      <c r="BP213">
        <v>1</v>
      </c>
      <c r="BQ213">
        <v>50</v>
      </c>
      <c r="BR213">
        <v>0</v>
      </c>
      <c r="BS213">
        <v>13.09</v>
      </c>
      <c r="BT213">
        <v>1</v>
      </c>
      <c r="BU213">
        <v>1</v>
      </c>
      <c r="BV213">
        <v>1</v>
      </c>
      <c r="BW213">
        <v>1</v>
      </c>
      <c r="BX213">
        <v>1</v>
      </c>
      <c r="BZ213">
        <v>73</v>
      </c>
      <c r="CA213">
        <v>42</v>
      </c>
      <c r="CF213">
        <v>0</v>
      </c>
      <c r="CG213">
        <v>0</v>
      </c>
      <c r="CM213">
        <v>0</v>
      </c>
      <c r="CN213" t="s">
        <v>460</v>
      </c>
      <c r="CO213">
        <v>0</v>
      </c>
      <c r="CP213">
        <f>(P213+Q213+S213)</f>
        <v>165.77</v>
      </c>
      <c r="CQ213">
        <f>((AC213*AW213))*BC213</f>
        <v>0</v>
      </c>
      <c r="CR213">
        <f>((AD213*AV213))*BB213</f>
        <v>0</v>
      </c>
      <c r="CS213">
        <f>((AE213*AV213))*BS213</f>
        <v>0</v>
      </c>
      <c r="CT213">
        <f>((AF213*AV213))*BA213</f>
        <v>165.77176000000003</v>
      </c>
      <c r="CU213">
        <f>(AG213)*BT213</f>
        <v>0</v>
      </c>
      <c r="CV213">
        <f>((AH213*AV213))*BU213</f>
        <v>0.8</v>
      </c>
      <c r="CW213">
        <f aca="true" t="shared" si="132" ref="CW213:CX216">(AI213)*BV213</f>
        <v>0</v>
      </c>
      <c r="CX213">
        <f t="shared" si="132"/>
        <v>0</v>
      </c>
      <c r="CY213">
        <f>S213*(BZ213/100)</f>
        <v>121.0121</v>
      </c>
      <c r="CZ213">
        <f>S213*(CA213/100)</f>
        <v>69.6234</v>
      </c>
      <c r="DG213" t="s">
        <v>136</v>
      </c>
      <c r="DI213" t="s">
        <v>136</v>
      </c>
      <c r="DN213">
        <v>75</v>
      </c>
      <c r="DO213">
        <v>70</v>
      </c>
      <c r="DP213">
        <v>1</v>
      </c>
      <c r="DQ213">
        <v>1</v>
      </c>
      <c r="DR213">
        <v>1</v>
      </c>
      <c r="DS213">
        <v>13.09</v>
      </c>
      <c r="DT213">
        <v>13.09</v>
      </c>
      <c r="DU213">
        <v>1013</v>
      </c>
      <c r="DV213" t="s">
        <v>458</v>
      </c>
      <c r="DW213" t="s">
        <v>458</v>
      </c>
      <c r="DX213">
        <v>1</v>
      </c>
      <c r="EE213">
        <v>18683935</v>
      </c>
      <c r="EF213">
        <v>50</v>
      </c>
      <c r="EG213" t="s">
        <v>461</v>
      </c>
      <c r="EH213">
        <v>0</v>
      </c>
      <c r="EJ213">
        <v>4</v>
      </c>
      <c r="EK213">
        <v>381</v>
      </c>
      <c r="EL213" t="s">
        <v>462</v>
      </c>
      <c r="EM213" t="s">
        <v>463</v>
      </c>
      <c r="EO213" t="s">
        <v>464</v>
      </c>
      <c r="EQ213">
        <v>0</v>
      </c>
      <c r="ER213">
        <v>15.83</v>
      </c>
      <c r="ES213">
        <v>0</v>
      </c>
      <c r="ET213">
        <v>0</v>
      </c>
      <c r="EU213">
        <v>0</v>
      </c>
      <c r="EV213">
        <v>15.83</v>
      </c>
      <c r="EW213">
        <v>1</v>
      </c>
      <c r="EX213">
        <v>0</v>
      </c>
      <c r="EY213">
        <v>0</v>
      </c>
      <c r="EZ213">
        <v>0</v>
      </c>
      <c r="FQ213">
        <v>0</v>
      </c>
      <c r="FR213">
        <f>ROUND(IF(AND(AA213=0,BI213=3),P213,0),2)</f>
        <v>0</v>
      </c>
      <c r="FS213">
        <v>0</v>
      </c>
      <c r="FX213">
        <v>73</v>
      </c>
      <c r="FY213">
        <v>42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</row>
    <row r="214" spans="1:194" ht="12.75">
      <c r="A214">
        <v>17</v>
      </c>
      <c r="B214">
        <v>1</v>
      </c>
      <c r="E214" t="s">
        <v>465</v>
      </c>
      <c r="F214" t="s">
        <v>466</v>
      </c>
      <c r="G214" t="s">
        <v>467</v>
      </c>
      <c r="H214" t="s">
        <v>468</v>
      </c>
      <c r="I214">
        <v>1</v>
      </c>
      <c r="J214">
        <v>0</v>
      </c>
      <c r="O214">
        <f>ROUND(CP214,2)</f>
        <v>24.82</v>
      </c>
      <c r="P214">
        <f>ROUND(CQ214*I214,2)</f>
        <v>0</v>
      </c>
      <c r="Q214">
        <f>ROUND(CR214*I214,2)</f>
        <v>0</v>
      </c>
      <c r="R214">
        <f>ROUND(CS214*I214,2)</f>
        <v>0</v>
      </c>
      <c r="S214">
        <f>ROUND(CT214*I214,2)</f>
        <v>24.82</v>
      </c>
      <c r="T214">
        <f>ROUND(CU214*I214,2)</f>
        <v>0</v>
      </c>
      <c r="U214">
        <f>CV214*I214</f>
        <v>0.12</v>
      </c>
      <c r="V214">
        <f>CW214*I214</f>
        <v>0</v>
      </c>
      <c r="W214">
        <f>ROUND(CX214*I214,2)</f>
        <v>0</v>
      </c>
      <c r="X214">
        <f t="shared" si="131"/>
        <v>18.12</v>
      </c>
      <c r="Y214">
        <f t="shared" si="131"/>
        <v>10.42</v>
      </c>
      <c r="AA214">
        <v>0</v>
      </c>
      <c r="AB214">
        <f>(AC214+AD214+AF214)</f>
        <v>1.8960000000000001</v>
      </c>
      <c r="AC214">
        <f>(ES214)</f>
        <v>0</v>
      </c>
      <c r="AD214">
        <f>(((ET214)-(EU214))+AE214)</f>
        <v>0</v>
      </c>
      <c r="AE214">
        <f>(EU214)</f>
        <v>0</v>
      </c>
      <c r="AF214">
        <f>((EV214*0.8))</f>
        <v>1.8960000000000001</v>
      </c>
      <c r="AG214">
        <f>(AP214)</f>
        <v>0</v>
      </c>
      <c r="AH214">
        <f>((EW214*0.8))</f>
        <v>0.12</v>
      </c>
      <c r="AI214">
        <f>(EX214)</f>
        <v>0</v>
      </c>
      <c r="AJ214">
        <f>(AS214)</f>
        <v>0</v>
      </c>
      <c r="AK214">
        <v>2.37</v>
      </c>
      <c r="AL214">
        <v>0</v>
      </c>
      <c r="AM214">
        <v>0</v>
      </c>
      <c r="AN214">
        <v>0</v>
      </c>
      <c r="AO214">
        <v>2.37</v>
      </c>
      <c r="AP214">
        <v>0</v>
      </c>
      <c r="AQ214">
        <v>0.15</v>
      </c>
      <c r="AR214">
        <v>0</v>
      </c>
      <c r="AS214">
        <v>0</v>
      </c>
      <c r="AT214">
        <v>73</v>
      </c>
      <c r="AU214">
        <v>42</v>
      </c>
      <c r="AV214">
        <v>1</v>
      </c>
      <c r="AW214">
        <v>1</v>
      </c>
      <c r="AX214">
        <v>13.09</v>
      </c>
      <c r="AY214">
        <v>13.09</v>
      </c>
      <c r="AZ214">
        <v>13.09</v>
      </c>
      <c r="BA214">
        <v>13.09</v>
      </c>
      <c r="BB214">
        <v>13.09</v>
      </c>
      <c r="BC214">
        <v>13.09</v>
      </c>
      <c r="BH214">
        <v>0</v>
      </c>
      <c r="BI214">
        <v>4</v>
      </c>
      <c r="BJ214" t="s">
        <v>469</v>
      </c>
      <c r="BM214">
        <v>381</v>
      </c>
      <c r="BN214">
        <v>0</v>
      </c>
      <c r="BO214" t="s">
        <v>466</v>
      </c>
      <c r="BP214">
        <v>1</v>
      </c>
      <c r="BQ214">
        <v>50</v>
      </c>
      <c r="BR214">
        <v>0</v>
      </c>
      <c r="BS214">
        <v>13.09</v>
      </c>
      <c r="BT214">
        <v>1</v>
      </c>
      <c r="BU214">
        <v>1</v>
      </c>
      <c r="BV214">
        <v>1</v>
      </c>
      <c r="BW214">
        <v>1</v>
      </c>
      <c r="BX214">
        <v>1</v>
      </c>
      <c r="BZ214">
        <v>73</v>
      </c>
      <c r="CA214">
        <v>42</v>
      </c>
      <c r="CF214">
        <v>0</v>
      </c>
      <c r="CG214">
        <v>0</v>
      </c>
      <c r="CM214">
        <v>0</v>
      </c>
      <c r="CN214" t="s">
        <v>460</v>
      </c>
      <c r="CO214">
        <v>0</v>
      </c>
      <c r="CP214">
        <f>(P214+Q214+S214)</f>
        <v>24.82</v>
      </c>
      <c r="CQ214">
        <f>((AC214*AW214))*BC214</f>
        <v>0</v>
      </c>
      <c r="CR214">
        <f>((AD214*AV214))*BB214</f>
        <v>0</v>
      </c>
      <c r="CS214">
        <f>((AE214*AV214))*BS214</f>
        <v>0</v>
      </c>
      <c r="CT214">
        <f>((AF214*AV214))*BA214</f>
        <v>24.818640000000002</v>
      </c>
      <c r="CU214">
        <f>(AG214)*BT214</f>
        <v>0</v>
      </c>
      <c r="CV214">
        <f>((AH214*AV214))*BU214</f>
        <v>0.12</v>
      </c>
      <c r="CW214">
        <f t="shared" si="132"/>
        <v>0</v>
      </c>
      <c r="CX214">
        <f t="shared" si="132"/>
        <v>0</v>
      </c>
      <c r="CY214">
        <f>S214*(BZ214/100)</f>
        <v>18.1186</v>
      </c>
      <c r="CZ214">
        <f>S214*(CA214/100)</f>
        <v>10.4244</v>
      </c>
      <c r="DG214" t="s">
        <v>136</v>
      </c>
      <c r="DI214" t="s">
        <v>136</v>
      </c>
      <c r="DN214">
        <v>75</v>
      </c>
      <c r="DO214">
        <v>70</v>
      </c>
      <c r="DP214">
        <v>1</v>
      </c>
      <c r="DQ214">
        <v>1</v>
      </c>
      <c r="DR214">
        <v>1</v>
      </c>
      <c r="DS214">
        <v>13.09</v>
      </c>
      <c r="DT214">
        <v>13.09</v>
      </c>
      <c r="DU214">
        <v>1013</v>
      </c>
      <c r="DV214" t="s">
        <v>468</v>
      </c>
      <c r="DW214" t="s">
        <v>468</v>
      </c>
      <c r="DX214">
        <v>1</v>
      </c>
      <c r="EE214">
        <v>18683935</v>
      </c>
      <c r="EF214">
        <v>50</v>
      </c>
      <c r="EG214" t="s">
        <v>461</v>
      </c>
      <c r="EH214">
        <v>0</v>
      </c>
      <c r="EJ214">
        <v>4</v>
      </c>
      <c r="EK214">
        <v>381</v>
      </c>
      <c r="EL214" t="s">
        <v>462</v>
      </c>
      <c r="EM214" t="s">
        <v>463</v>
      </c>
      <c r="EO214" t="s">
        <v>464</v>
      </c>
      <c r="EQ214">
        <v>0</v>
      </c>
      <c r="ER214">
        <v>2.37</v>
      </c>
      <c r="ES214">
        <v>0</v>
      </c>
      <c r="ET214">
        <v>0</v>
      </c>
      <c r="EU214">
        <v>0</v>
      </c>
      <c r="EV214">
        <v>2.37</v>
      </c>
      <c r="EW214">
        <v>0.15</v>
      </c>
      <c r="EX214">
        <v>0</v>
      </c>
      <c r="EY214">
        <v>0</v>
      </c>
      <c r="EZ214">
        <v>0</v>
      </c>
      <c r="FQ214">
        <v>0</v>
      </c>
      <c r="FR214">
        <f>ROUND(IF(AND(AA214=0,BI214=3),P214,0),2)</f>
        <v>0</v>
      </c>
      <c r="FS214">
        <v>0</v>
      </c>
      <c r="FX214">
        <v>73</v>
      </c>
      <c r="FY214">
        <v>42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</row>
    <row r="215" spans="1:194" ht="12.75">
      <c r="A215">
        <v>17</v>
      </c>
      <c r="B215">
        <v>1</v>
      </c>
      <c r="E215" t="s">
        <v>470</v>
      </c>
      <c r="F215" t="s">
        <v>471</v>
      </c>
      <c r="G215" t="s">
        <v>472</v>
      </c>
      <c r="H215" t="s">
        <v>473</v>
      </c>
      <c r="I215">
        <v>1</v>
      </c>
      <c r="J215">
        <v>0</v>
      </c>
      <c r="O215">
        <f>ROUND(CP215,2)</f>
        <v>165.77</v>
      </c>
      <c r="P215">
        <f>ROUND(CQ215*I215,2)</f>
        <v>0</v>
      </c>
      <c r="Q215">
        <f>ROUND(CR215*I215,2)</f>
        <v>0</v>
      </c>
      <c r="R215">
        <f>ROUND(CS215*I215,2)</f>
        <v>0</v>
      </c>
      <c r="S215">
        <f>ROUND(CT215*I215,2)</f>
        <v>165.77</v>
      </c>
      <c r="T215">
        <f>ROUND(CU215*I215,2)</f>
        <v>0</v>
      </c>
      <c r="U215">
        <f>CV215*I215</f>
        <v>0.8</v>
      </c>
      <c r="V215">
        <f>CW215*I215</f>
        <v>0</v>
      </c>
      <c r="W215">
        <f>ROUND(CX215*I215,2)</f>
        <v>0</v>
      </c>
      <c r="X215">
        <f t="shared" si="131"/>
        <v>121.01</v>
      </c>
      <c r="Y215">
        <f t="shared" si="131"/>
        <v>69.62</v>
      </c>
      <c r="AA215">
        <v>0</v>
      </c>
      <c r="AB215">
        <f>(AC215+AD215+AF215)</f>
        <v>12.664000000000001</v>
      </c>
      <c r="AC215">
        <f>(ES215)</f>
        <v>0</v>
      </c>
      <c r="AD215">
        <f>(((ET215)-(EU215))+AE215)</f>
        <v>0</v>
      </c>
      <c r="AE215">
        <f>(EU215)</f>
        <v>0</v>
      </c>
      <c r="AF215">
        <f>((EV215*0.8))</f>
        <v>12.664000000000001</v>
      </c>
      <c r="AG215">
        <f>(AP215)</f>
        <v>0</v>
      </c>
      <c r="AH215">
        <f>((EW215*0.8))</f>
        <v>0.8</v>
      </c>
      <c r="AI215">
        <f>(EX215)</f>
        <v>0</v>
      </c>
      <c r="AJ215">
        <f>(AS215)</f>
        <v>0</v>
      </c>
      <c r="AK215">
        <v>15.83</v>
      </c>
      <c r="AL215">
        <v>0</v>
      </c>
      <c r="AM215">
        <v>0</v>
      </c>
      <c r="AN215">
        <v>0</v>
      </c>
      <c r="AO215">
        <v>15.83</v>
      </c>
      <c r="AP215">
        <v>0</v>
      </c>
      <c r="AQ215">
        <v>1</v>
      </c>
      <c r="AR215">
        <v>0</v>
      </c>
      <c r="AS215">
        <v>0</v>
      </c>
      <c r="AT215">
        <v>73</v>
      </c>
      <c r="AU215">
        <v>42</v>
      </c>
      <c r="AV215">
        <v>1</v>
      </c>
      <c r="AW215">
        <v>1</v>
      </c>
      <c r="AX215">
        <v>13.09</v>
      </c>
      <c r="AY215">
        <v>13.09</v>
      </c>
      <c r="AZ215">
        <v>13.09</v>
      </c>
      <c r="BA215">
        <v>13.09</v>
      </c>
      <c r="BB215">
        <v>13.09</v>
      </c>
      <c r="BC215">
        <v>13.09</v>
      </c>
      <c r="BH215">
        <v>0</v>
      </c>
      <c r="BI215">
        <v>4</v>
      </c>
      <c r="BJ215" t="s">
        <v>474</v>
      </c>
      <c r="BM215">
        <v>381</v>
      </c>
      <c r="BN215">
        <v>0</v>
      </c>
      <c r="BO215" t="s">
        <v>471</v>
      </c>
      <c r="BP215">
        <v>1</v>
      </c>
      <c r="BQ215">
        <v>50</v>
      </c>
      <c r="BR215">
        <v>0</v>
      </c>
      <c r="BS215">
        <v>13.09</v>
      </c>
      <c r="BT215">
        <v>1</v>
      </c>
      <c r="BU215">
        <v>1</v>
      </c>
      <c r="BV215">
        <v>1</v>
      </c>
      <c r="BW215">
        <v>1</v>
      </c>
      <c r="BX215">
        <v>1</v>
      </c>
      <c r="BZ215">
        <v>73</v>
      </c>
      <c r="CA215">
        <v>42</v>
      </c>
      <c r="CF215">
        <v>0</v>
      </c>
      <c r="CG215">
        <v>0</v>
      </c>
      <c r="CM215">
        <v>0</v>
      </c>
      <c r="CN215" t="s">
        <v>460</v>
      </c>
      <c r="CO215">
        <v>0</v>
      </c>
      <c r="CP215">
        <f>(P215+Q215+S215)</f>
        <v>165.77</v>
      </c>
      <c r="CQ215">
        <f>((AC215*AW215))*BC215</f>
        <v>0</v>
      </c>
      <c r="CR215">
        <f>((AD215*AV215))*BB215</f>
        <v>0</v>
      </c>
      <c r="CS215">
        <f>((AE215*AV215))*BS215</f>
        <v>0</v>
      </c>
      <c r="CT215">
        <f>((AF215*AV215))*BA215</f>
        <v>165.77176000000003</v>
      </c>
      <c r="CU215">
        <f>(AG215)*BT215</f>
        <v>0</v>
      </c>
      <c r="CV215">
        <f>((AH215*AV215))*BU215</f>
        <v>0.8</v>
      </c>
      <c r="CW215">
        <f t="shared" si="132"/>
        <v>0</v>
      </c>
      <c r="CX215">
        <f t="shared" si="132"/>
        <v>0</v>
      </c>
      <c r="CY215">
        <f>S215*(BZ215/100)</f>
        <v>121.0121</v>
      </c>
      <c r="CZ215">
        <f>S215*(CA215/100)</f>
        <v>69.6234</v>
      </c>
      <c r="DG215" t="s">
        <v>136</v>
      </c>
      <c r="DI215" t="s">
        <v>136</v>
      </c>
      <c r="DN215">
        <v>75</v>
      </c>
      <c r="DO215">
        <v>70</v>
      </c>
      <c r="DP215">
        <v>1</v>
      </c>
      <c r="DQ215">
        <v>1</v>
      </c>
      <c r="DR215">
        <v>1</v>
      </c>
      <c r="DS215">
        <v>13.09</v>
      </c>
      <c r="DT215">
        <v>13.09</v>
      </c>
      <c r="DU215">
        <v>1013</v>
      </c>
      <c r="DV215" t="s">
        <v>473</v>
      </c>
      <c r="DW215" t="s">
        <v>473</v>
      </c>
      <c r="DX215">
        <v>1</v>
      </c>
      <c r="EE215">
        <v>18683935</v>
      </c>
      <c r="EF215">
        <v>50</v>
      </c>
      <c r="EG215" t="s">
        <v>461</v>
      </c>
      <c r="EH215">
        <v>0</v>
      </c>
      <c r="EJ215">
        <v>4</v>
      </c>
      <c r="EK215">
        <v>381</v>
      </c>
      <c r="EL215" t="s">
        <v>462</v>
      </c>
      <c r="EM215" t="s">
        <v>463</v>
      </c>
      <c r="EO215" t="s">
        <v>464</v>
      </c>
      <c r="EQ215">
        <v>0</v>
      </c>
      <c r="ER215">
        <v>15.83</v>
      </c>
      <c r="ES215">
        <v>0</v>
      </c>
      <c r="ET215">
        <v>0</v>
      </c>
      <c r="EU215">
        <v>0</v>
      </c>
      <c r="EV215">
        <v>15.83</v>
      </c>
      <c r="EW215">
        <v>1</v>
      </c>
      <c r="EX215">
        <v>0</v>
      </c>
      <c r="EY215">
        <v>0</v>
      </c>
      <c r="EZ215">
        <v>0</v>
      </c>
      <c r="FQ215">
        <v>0</v>
      </c>
      <c r="FR215">
        <f>ROUND(IF(AND(AA215=0,BI215=3),P215,0),2)</f>
        <v>0</v>
      </c>
      <c r="FS215">
        <v>0</v>
      </c>
      <c r="FX215">
        <v>73</v>
      </c>
      <c r="FY215">
        <v>42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</row>
    <row r="216" spans="1:194" ht="12.75">
      <c r="A216">
        <v>17</v>
      </c>
      <c r="B216">
        <v>1</v>
      </c>
      <c r="E216" t="s">
        <v>475</v>
      </c>
      <c r="F216" t="s">
        <v>476</v>
      </c>
      <c r="G216" t="s">
        <v>477</v>
      </c>
      <c r="H216" t="s">
        <v>458</v>
      </c>
      <c r="I216">
        <v>2</v>
      </c>
      <c r="J216">
        <v>0</v>
      </c>
      <c r="O216">
        <f>ROUND(CP216,2)</f>
        <v>119.38</v>
      </c>
      <c r="P216">
        <f>ROUND(CQ216*I216,2)</f>
        <v>0</v>
      </c>
      <c r="Q216">
        <f>ROUND(CR216*I216,2)</f>
        <v>0</v>
      </c>
      <c r="R216">
        <f>ROUND(CS216*I216,2)</f>
        <v>0</v>
      </c>
      <c r="S216">
        <f>ROUND(CT216*I216,2)</f>
        <v>119.38</v>
      </c>
      <c r="T216">
        <f>ROUND(CU216*I216,2)</f>
        <v>0</v>
      </c>
      <c r="U216">
        <f>CV216*I216</f>
        <v>0.576</v>
      </c>
      <c r="V216">
        <f>CW216*I216</f>
        <v>0</v>
      </c>
      <c r="W216">
        <f>ROUND(CX216*I216,2)</f>
        <v>0</v>
      </c>
      <c r="X216">
        <f t="shared" si="131"/>
        <v>87.15</v>
      </c>
      <c r="Y216">
        <f t="shared" si="131"/>
        <v>50.14</v>
      </c>
      <c r="AA216">
        <v>0</v>
      </c>
      <c r="AB216">
        <f>(AC216+AD216+AF216)</f>
        <v>4.5600000000000005</v>
      </c>
      <c r="AC216">
        <f>(ES216)</f>
        <v>0</v>
      </c>
      <c r="AD216">
        <f>(((ET216)-(EU216))+AE216)</f>
        <v>0</v>
      </c>
      <c r="AE216">
        <f>(EU216)</f>
        <v>0</v>
      </c>
      <c r="AF216">
        <f>((EV216*0.8))</f>
        <v>4.5600000000000005</v>
      </c>
      <c r="AG216">
        <f>(AP216)</f>
        <v>0</v>
      </c>
      <c r="AH216">
        <f>((EW216*0.8))</f>
        <v>0.288</v>
      </c>
      <c r="AI216">
        <f>(EX216)</f>
        <v>0</v>
      </c>
      <c r="AJ216">
        <f>(AS216)</f>
        <v>0</v>
      </c>
      <c r="AK216">
        <v>5.7</v>
      </c>
      <c r="AL216">
        <v>0</v>
      </c>
      <c r="AM216">
        <v>0</v>
      </c>
      <c r="AN216">
        <v>0</v>
      </c>
      <c r="AO216">
        <v>5.7</v>
      </c>
      <c r="AP216">
        <v>0</v>
      </c>
      <c r="AQ216">
        <v>0.36</v>
      </c>
      <c r="AR216">
        <v>0</v>
      </c>
      <c r="AS216">
        <v>0</v>
      </c>
      <c r="AT216">
        <v>73</v>
      </c>
      <c r="AU216">
        <v>42</v>
      </c>
      <c r="AV216">
        <v>1</v>
      </c>
      <c r="AW216">
        <v>1</v>
      </c>
      <c r="AX216">
        <v>13.089999999999998</v>
      </c>
      <c r="AY216">
        <v>13.09</v>
      </c>
      <c r="AZ216">
        <v>13.09</v>
      </c>
      <c r="BA216">
        <v>13.09</v>
      </c>
      <c r="BB216">
        <v>13.089999999999998</v>
      </c>
      <c r="BC216">
        <v>13.089999999999998</v>
      </c>
      <c r="BH216">
        <v>0</v>
      </c>
      <c r="BI216">
        <v>4</v>
      </c>
      <c r="BJ216" t="s">
        <v>478</v>
      </c>
      <c r="BM216">
        <v>381</v>
      </c>
      <c r="BN216">
        <v>0</v>
      </c>
      <c r="BO216" t="s">
        <v>476</v>
      </c>
      <c r="BP216">
        <v>1</v>
      </c>
      <c r="BQ216">
        <v>50</v>
      </c>
      <c r="BR216">
        <v>0</v>
      </c>
      <c r="BS216">
        <v>13.089999999999998</v>
      </c>
      <c r="BT216">
        <v>1</v>
      </c>
      <c r="BU216">
        <v>1</v>
      </c>
      <c r="BV216">
        <v>1</v>
      </c>
      <c r="BW216">
        <v>1</v>
      </c>
      <c r="BX216">
        <v>1</v>
      </c>
      <c r="BZ216">
        <v>73</v>
      </c>
      <c r="CA216">
        <v>42</v>
      </c>
      <c r="CF216">
        <v>0</v>
      </c>
      <c r="CG216">
        <v>0</v>
      </c>
      <c r="CM216">
        <v>0</v>
      </c>
      <c r="CN216" t="s">
        <v>460</v>
      </c>
      <c r="CO216">
        <v>0</v>
      </c>
      <c r="CP216">
        <f>(P216+Q216+S216)</f>
        <v>119.38</v>
      </c>
      <c r="CQ216">
        <f>((AC216*AW216))*BC216</f>
        <v>0</v>
      </c>
      <c r="CR216">
        <f>((AD216*AV216))*BB216</f>
        <v>0</v>
      </c>
      <c r="CS216">
        <f>((AE216*AV216))*BS216</f>
        <v>0</v>
      </c>
      <c r="CT216">
        <f>((AF216*AV216))*BA216</f>
        <v>59.690400000000004</v>
      </c>
      <c r="CU216">
        <f>(AG216)*BT216</f>
        <v>0</v>
      </c>
      <c r="CV216">
        <f>((AH216*AV216))*BU216</f>
        <v>0.288</v>
      </c>
      <c r="CW216">
        <f t="shared" si="132"/>
        <v>0</v>
      </c>
      <c r="CX216">
        <f t="shared" si="132"/>
        <v>0</v>
      </c>
      <c r="CY216">
        <f>S216*(BZ216/100)</f>
        <v>87.14739999999999</v>
      </c>
      <c r="CZ216">
        <f>S216*(CA216/100)</f>
        <v>50.139599999999994</v>
      </c>
      <c r="DG216" t="s">
        <v>136</v>
      </c>
      <c r="DI216" t="s">
        <v>136</v>
      </c>
      <c r="DN216">
        <v>75</v>
      </c>
      <c r="DO216">
        <v>70</v>
      </c>
      <c r="DP216">
        <v>1</v>
      </c>
      <c r="DQ216">
        <v>1</v>
      </c>
      <c r="DR216">
        <v>1</v>
      </c>
      <c r="DS216">
        <v>13.089999999999998</v>
      </c>
      <c r="DT216">
        <v>13.09</v>
      </c>
      <c r="DU216">
        <v>1013</v>
      </c>
      <c r="DV216" t="s">
        <v>458</v>
      </c>
      <c r="DW216" t="s">
        <v>458</v>
      </c>
      <c r="DX216">
        <v>1</v>
      </c>
      <c r="EE216">
        <v>18683935</v>
      </c>
      <c r="EF216">
        <v>50</v>
      </c>
      <c r="EG216" t="s">
        <v>461</v>
      </c>
      <c r="EH216">
        <v>0</v>
      </c>
      <c r="EJ216">
        <v>4</v>
      </c>
      <c r="EK216">
        <v>381</v>
      </c>
      <c r="EL216" t="s">
        <v>462</v>
      </c>
      <c r="EM216" t="s">
        <v>463</v>
      </c>
      <c r="EO216" t="s">
        <v>464</v>
      </c>
      <c r="EQ216">
        <v>256</v>
      </c>
      <c r="ER216">
        <v>5.7</v>
      </c>
      <c r="ES216">
        <v>0</v>
      </c>
      <c r="ET216">
        <v>0</v>
      </c>
      <c r="EU216">
        <v>0</v>
      </c>
      <c r="EV216">
        <v>5.7</v>
      </c>
      <c r="EW216">
        <v>0.36</v>
      </c>
      <c r="EX216">
        <v>0</v>
      </c>
      <c r="EY216">
        <v>0</v>
      </c>
      <c r="EZ216">
        <v>0</v>
      </c>
      <c r="FQ216">
        <v>0</v>
      </c>
      <c r="FR216">
        <f>ROUND(IF(AND(AA216=0,BI216=3),P216,0),2)</f>
        <v>0</v>
      </c>
      <c r="FS216">
        <v>0</v>
      </c>
      <c r="FX216">
        <v>73</v>
      </c>
      <c r="FY216">
        <v>42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</row>
    <row r="218" spans="1:43" ht="12.75">
      <c r="A218" s="2">
        <v>51</v>
      </c>
      <c r="B218" s="2">
        <f>B209</f>
        <v>1</v>
      </c>
      <c r="C218" s="2">
        <f>A209</f>
        <v>4</v>
      </c>
      <c r="D218" s="2">
        <f>ROW(A209)</f>
        <v>209</v>
      </c>
      <c r="E218" s="2"/>
      <c r="F218" s="2" t="str">
        <f>IF(F209&lt;&gt;"",F209,"")</f>
        <v>Новый раздел</v>
      </c>
      <c r="G218" s="2" t="str">
        <f>IF(G209&lt;&gt;"",G209,"")</f>
        <v>Электротехнические пусконаладочные работы</v>
      </c>
      <c r="H218" s="2"/>
      <c r="I218" s="2"/>
      <c r="J218" s="2"/>
      <c r="K218" s="2"/>
      <c r="L218" s="2"/>
      <c r="M218" s="2"/>
      <c r="N218" s="2"/>
      <c r="O218" s="2">
        <f aca="true" t="shared" si="133" ref="O218:Y218">ROUND(AB218,2)</f>
        <v>475.74</v>
      </c>
      <c r="P218" s="2">
        <f t="shared" si="133"/>
        <v>0</v>
      </c>
      <c r="Q218" s="2">
        <f t="shared" si="133"/>
        <v>0</v>
      </c>
      <c r="R218" s="2">
        <f t="shared" si="133"/>
        <v>0</v>
      </c>
      <c r="S218" s="2">
        <f t="shared" si="133"/>
        <v>475.74</v>
      </c>
      <c r="T218" s="2">
        <f t="shared" si="133"/>
        <v>0</v>
      </c>
      <c r="U218" s="2">
        <f t="shared" si="133"/>
        <v>2.3</v>
      </c>
      <c r="V218" s="2">
        <f t="shared" si="133"/>
        <v>0</v>
      </c>
      <c r="W218" s="2">
        <f t="shared" si="133"/>
        <v>0</v>
      </c>
      <c r="X218" s="2">
        <f t="shared" si="133"/>
        <v>347.29</v>
      </c>
      <c r="Y218" s="2">
        <f t="shared" si="133"/>
        <v>199.8</v>
      </c>
      <c r="Z218" s="2"/>
      <c r="AA218" s="2"/>
      <c r="AB218" s="2">
        <f>ROUND(SUMIF(AA213:AA216,"=0",O213:O216),2)</f>
        <v>475.74</v>
      </c>
      <c r="AC218" s="2">
        <f>ROUND(SUMIF(AA213:AA216,"=0",P213:P216),2)</f>
        <v>0</v>
      </c>
      <c r="AD218" s="2">
        <f>ROUND(SUMIF(AA213:AA216,"=0",Q213:Q216),2)</f>
        <v>0</v>
      </c>
      <c r="AE218" s="2">
        <f>ROUND(SUMIF(AA213:AA216,"=0",R213:R216),2)</f>
        <v>0</v>
      </c>
      <c r="AF218" s="2">
        <f>ROUND(SUMIF(AA213:AA216,"=0",S213:S216),2)</f>
        <v>475.74</v>
      </c>
      <c r="AG218" s="2">
        <f>ROUND(SUMIF(AA213:AA216,"=0",T213:T216),2)</f>
        <v>0</v>
      </c>
      <c r="AH218" s="2">
        <f>ROUND(SUMIF(AA213:AA216,"=0",U213:U216),2)</f>
        <v>2.3</v>
      </c>
      <c r="AI218" s="2">
        <f>ROUND(SUMIF(AA213:AA216,"=0",V213:V216),2)</f>
        <v>0</v>
      </c>
      <c r="AJ218" s="2">
        <f>ROUND(SUMIF(AA213:AA216,"=0",W213:W216),2)</f>
        <v>0</v>
      </c>
      <c r="AK218" s="2">
        <f>ROUND(SUMIF(AA213:AA216,"=0",X213:X216),2)</f>
        <v>347.29</v>
      </c>
      <c r="AL218" s="2">
        <f>ROUND(SUMIF(AA213:AA216,"=0",Y213:Y216),2)</f>
        <v>199.8</v>
      </c>
      <c r="AM218" s="2"/>
      <c r="AN218" s="2">
        <f>ROUND(AO218,2)</f>
        <v>0</v>
      </c>
      <c r="AO218" s="2">
        <f>ROUND(SUMIF(AA213:AA216,"=0",FQ213:FQ216),2)</f>
        <v>0</v>
      </c>
      <c r="AP218" s="2">
        <f>ROUND(AQ218,2)</f>
        <v>0</v>
      </c>
      <c r="AQ218" s="2">
        <f>ROUND(SUM(FR213:FR216),2)</f>
        <v>0</v>
      </c>
    </row>
    <row r="220" spans="1:14" ht="12.75">
      <c r="A220" s="3">
        <v>50</v>
      </c>
      <c r="B220" s="3">
        <v>0</v>
      </c>
      <c r="C220" s="3">
        <v>0</v>
      </c>
      <c r="D220" s="3">
        <v>1</v>
      </c>
      <c r="E220" s="3">
        <v>201</v>
      </c>
      <c r="F220" s="3">
        <f>Source!O218</f>
        <v>475.74</v>
      </c>
      <c r="G220" s="3" t="s">
        <v>53</v>
      </c>
      <c r="H220" s="3" t="s">
        <v>54</v>
      </c>
      <c r="I220" s="3"/>
      <c r="J220" s="3"/>
      <c r="K220" s="3">
        <v>201</v>
      </c>
      <c r="L220" s="3">
        <v>1</v>
      </c>
      <c r="M220" s="3">
        <v>3</v>
      </c>
      <c r="N220" s="3" t="s">
        <v>6</v>
      </c>
    </row>
    <row r="221" spans="1:14" ht="12.75">
      <c r="A221" s="3">
        <v>50</v>
      </c>
      <c r="B221" s="3">
        <v>0</v>
      </c>
      <c r="C221" s="3">
        <v>0</v>
      </c>
      <c r="D221" s="3">
        <v>1</v>
      </c>
      <c r="E221" s="3">
        <v>202</v>
      </c>
      <c r="F221" s="3">
        <f>Source!P218</f>
        <v>0</v>
      </c>
      <c r="G221" s="3" t="s">
        <v>55</v>
      </c>
      <c r="H221" s="3" t="s">
        <v>56</v>
      </c>
      <c r="I221" s="3"/>
      <c r="J221" s="3"/>
      <c r="K221" s="3">
        <v>202</v>
      </c>
      <c r="L221" s="3">
        <v>2</v>
      </c>
      <c r="M221" s="3">
        <v>3</v>
      </c>
      <c r="N221" s="3" t="s">
        <v>6</v>
      </c>
    </row>
    <row r="222" spans="1:14" ht="12.75">
      <c r="A222" s="3">
        <v>50</v>
      </c>
      <c r="B222" s="3">
        <v>0</v>
      </c>
      <c r="C222" s="3">
        <v>0</v>
      </c>
      <c r="D222" s="3">
        <v>1</v>
      </c>
      <c r="E222" s="3">
        <v>222</v>
      </c>
      <c r="F222" s="3">
        <f>Source!AN218</f>
        <v>0</v>
      </c>
      <c r="G222" s="3" t="s">
        <v>57</v>
      </c>
      <c r="H222" s="3" t="s">
        <v>58</v>
      </c>
      <c r="I222" s="3"/>
      <c r="J222" s="3"/>
      <c r="K222" s="3">
        <v>222</v>
      </c>
      <c r="L222" s="3">
        <v>3</v>
      </c>
      <c r="M222" s="3">
        <v>3</v>
      </c>
      <c r="N222" s="3" t="s">
        <v>6</v>
      </c>
    </row>
    <row r="223" spans="1:14" ht="12.75">
      <c r="A223" s="3">
        <v>50</v>
      </c>
      <c r="B223" s="3">
        <v>0</v>
      </c>
      <c r="C223" s="3">
        <v>0</v>
      </c>
      <c r="D223" s="3">
        <v>1</v>
      </c>
      <c r="E223" s="3">
        <v>216</v>
      </c>
      <c r="F223" s="3">
        <f>Source!AP218</f>
        <v>0</v>
      </c>
      <c r="G223" s="3" t="s">
        <v>59</v>
      </c>
      <c r="H223" s="3" t="s">
        <v>60</v>
      </c>
      <c r="I223" s="3"/>
      <c r="J223" s="3"/>
      <c r="K223" s="3">
        <v>216</v>
      </c>
      <c r="L223" s="3">
        <v>4</v>
      </c>
      <c r="M223" s="3">
        <v>3</v>
      </c>
      <c r="N223" s="3" t="s">
        <v>6</v>
      </c>
    </row>
    <row r="224" spans="1:14" ht="12.75">
      <c r="A224" s="3">
        <v>50</v>
      </c>
      <c r="B224" s="3">
        <v>0</v>
      </c>
      <c r="C224" s="3">
        <v>0</v>
      </c>
      <c r="D224" s="3">
        <v>1</v>
      </c>
      <c r="E224" s="3">
        <v>203</v>
      </c>
      <c r="F224" s="3">
        <f>Source!Q218</f>
        <v>0</v>
      </c>
      <c r="G224" s="3" t="s">
        <v>61</v>
      </c>
      <c r="H224" s="3" t="s">
        <v>62</v>
      </c>
      <c r="I224" s="3"/>
      <c r="J224" s="3"/>
      <c r="K224" s="3">
        <v>203</v>
      </c>
      <c r="L224" s="3">
        <v>6</v>
      </c>
      <c r="M224" s="3">
        <v>3</v>
      </c>
      <c r="N224" s="3" t="s">
        <v>6</v>
      </c>
    </row>
    <row r="225" spans="1:14" ht="12.75">
      <c r="A225" s="3">
        <v>50</v>
      </c>
      <c r="B225" s="3">
        <v>0</v>
      </c>
      <c r="C225" s="3">
        <v>0</v>
      </c>
      <c r="D225" s="3">
        <v>1</v>
      </c>
      <c r="E225" s="3">
        <v>204</v>
      </c>
      <c r="F225" s="3">
        <f>Source!R218</f>
        <v>0</v>
      </c>
      <c r="G225" s="3" t="s">
        <v>63</v>
      </c>
      <c r="H225" s="3" t="s">
        <v>64</v>
      </c>
      <c r="I225" s="3"/>
      <c r="J225" s="3"/>
      <c r="K225" s="3">
        <v>204</v>
      </c>
      <c r="L225" s="3">
        <v>7</v>
      </c>
      <c r="M225" s="3">
        <v>3</v>
      </c>
      <c r="N225" s="3" t="s">
        <v>6</v>
      </c>
    </row>
    <row r="226" spans="1:14" ht="12.75">
      <c r="A226" s="3">
        <v>50</v>
      </c>
      <c r="B226" s="3">
        <v>0</v>
      </c>
      <c r="C226" s="3">
        <v>0</v>
      </c>
      <c r="D226" s="3">
        <v>1</v>
      </c>
      <c r="E226" s="3">
        <v>205</v>
      </c>
      <c r="F226" s="3">
        <f>Source!S218</f>
        <v>475.74</v>
      </c>
      <c r="G226" s="3" t="s">
        <v>65</v>
      </c>
      <c r="H226" s="3" t="s">
        <v>66</v>
      </c>
      <c r="I226" s="3"/>
      <c r="J226" s="3"/>
      <c r="K226" s="3">
        <v>205</v>
      </c>
      <c r="L226" s="3">
        <v>8</v>
      </c>
      <c r="M226" s="3">
        <v>3</v>
      </c>
      <c r="N226" s="3" t="s">
        <v>6</v>
      </c>
    </row>
    <row r="227" spans="1:14" ht="12.75">
      <c r="A227" s="3">
        <v>50</v>
      </c>
      <c r="B227" s="3">
        <v>0</v>
      </c>
      <c r="C227" s="3">
        <v>0</v>
      </c>
      <c r="D227" s="3">
        <v>1</v>
      </c>
      <c r="E227" s="3">
        <v>206</v>
      </c>
      <c r="F227" s="3">
        <f>Source!T218</f>
        <v>0</v>
      </c>
      <c r="G227" s="3" t="s">
        <v>67</v>
      </c>
      <c r="H227" s="3" t="s">
        <v>68</v>
      </c>
      <c r="I227" s="3"/>
      <c r="J227" s="3"/>
      <c r="K227" s="3">
        <v>206</v>
      </c>
      <c r="L227" s="3">
        <v>12</v>
      </c>
      <c r="M227" s="3">
        <v>3</v>
      </c>
      <c r="N227" s="3" t="s">
        <v>6</v>
      </c>
    </row>
    <row r="228" spans="1:14" ht="12.75">
      <c r="A228" s="3">
        <v>50</v>
      </c>
      <c r="B228" s="3">
        <v>0</v>
      </c>
      <c r="C228" s="3">
        <v>0</v>
      </c>
      <c r="D228" s="3">
        <v>1</v>
      </c>
      <c r="E228" s="3">
        <v>207</v>
      </c>
      <c r="F228" s="3">
        <f>Source!U218</f>
        <v>2.3</v>
      </c>
      <c r="G228" s="3" t="s">
        <v>69</v>
      </c>
      <c r="H228" s="3" t="s">
        <v>70</v>
      </c>
      <c r="I228" s="3"/>
      <c r="J228" s="3"/>
      <c r="K228" s="3">
        <v>207</v>
      </c>
      <c r="L228" s="3">
        <v>13</v>
      </c>
      <c r="M228" s="3">
        <v>3</v>
      </c>
      <c r="N228" s="3" t="s">
        <v>6</v>
      </c>
    </row>
    <row r="229" spans="1:14" ht="12.75">
      <c r="A229" s="3">
        <v>50</v>
      </c>
      <c r="B229" s="3">
        <v>0</v>
      </c>
      <c r="C229" s="3">
        <v>0</v>
      </c>
      <c r="D229" s="3">
        <v>1</v>
      </c>
      <c r="E229" s="3">
        <v>208</v>
      </c>
      <c r="F229" s="3">
        <f>Source!V218</f>
        <v>0</v>
      </c>
      <c r="G229" s="3" t="s">
        <v>71</v>
      </c>
      <c r="H229" s="3" t="s">
        <v>72</v>
      </c>
      <c r="I229" s="3"/>
      <c r="J229" s="3"/>
      <c r="K229" s="3">
        <v>208</v>
      </c>
      <c r="L229" s="3">
        <v>14</v>
      </c>
      <c r="M229" s="3">
        <v>3</v>
      </c>
      <c r="N229" s="3" t="s">
        <v>6</v>
      </c>
    </row>
    <row r="230" spans="1:14" ht="12.75">
      <c r="A230" s="3">
        <v>50</v>
      </c>
      <c r="B230" s="3">
        <v>0</v>
      </c>
      <c r="C230" s="3">
        <v>0</v>
      </c>
      <c r="D230" s="3">
        <v>1</v>
      </c>
      <c r="E230" s="3">
        <v>209</v>
      </c>
      <c r="F230" s="3">
        <f>Source!W218</f>
        <v>0</v>
      </c>
      <c r="G230" s="3" t="s">
        <v>73</v>
      </c>
      <c r="H230" s="3" t="s">
        <v>74</v>
      </c>
      <c r="I230" s="3"/>
      <c r="J230" s="3"/>
      <c r="K230" s="3">
        <v>209</v>
      </c>
      <c r="L230" s="3">
        <v>15</v>
      </c>
      <c r="M230" s="3">
        <v>3</v>
      </c>
      <c r="N230" s="3" t="s">
        <v>6</v>
      </c>
    </row>
    <row r="231" spans="1:14" ht="12.75">
      <c r="A231" s="3">
        <v>50</v>
      </c>
      <c r="B231" s="3">
        <v>0</v>
      </c>
      <c r="C231" s="3">
        <v>0</v>
      </c>
      <c r="D231" s="3">
        <v>1</v>
      </c>
      <c r="E231" s="3">
        <v>210</v>
      </c>
      <c r="F231" s="3">
        <f>Source!X218</f>
        <v>347.29</v>
      </c>
      <c r="G231" s="3" t="s">
        <v>75</v>
      </c>
      <c r="H231" s="3" t="s">
        <v>76</v>
      </c>
      <c r="I231" s="3"/>
      <c r="J231" s="3"/>
      <c r="K231" s="3">
        <v>210</v>
      </c>
      <c r="L231" s="3">
        <v>16</v>
      </c>
      <c r="M231" s="3">
        <v>3</v>
      </c>
      <c r="N231" s="3" t="s">
        <v>6</v>
      </c>
    </row>
    <row r="232" spans="1:14" ht="12.75">
      <c r="A232" s="3">
        <v>50</v>
      </c>
      <c r="B232" s="3">
        <v>0</v>
      </c>
      <c r="C232" s="3">
        <v>0</v>
      </c>
      <c r="D232" s="3">
        <v>1</v>
      </c>
      <c r="E232" s="3">
        <v>211</v>
      </c>
      <c r="F232" s="3">
        <f>Source!Y218</f>
        <v>199.8</v>
      </c>
      <c r="G232" s="3" t="s">
        <v>77</v>
      </c>
      <c r="H232" s="3" t="s">
        <v>78</v>
      </c>
      <c r="I232" s="3"/>
      <c r="J232" s="3"/>
      <c r="K232" s="3">
        <v>211</v>
      </c>
      <c r="L232" s="3">
        <v>17</v>
      </c>
      <c r="M232" s="3">
        <v>3</v>
      </c>
      <c r="N232" s="3" t="s">
        <v>6</v>
      </c>
    </row>
    <row r="233" ht="12.75">
      <c r="G233">
        <v>0</v>
      </c>
    </row>
    <row r="234" spans="1:67" ht="12.75">
      <c r="A234" s="1">
        <v>4</v>
      </c>
      <c r="B234" s="1">
        <v>1</v>
      </c>
      <c r="C234" s="1"/>
      <c r="D234" s="1">
        <f>ROW(A240)</f>
        <v>240</v>
      </c>
      <c r="E234" s="1"/>
      <c r="F234" s="1" t="s">
        <v>16</v>
      </c>
      <c r="G234" s="1" t="s">
        <v>479</v>
      </c>
      <c r="H234" s="1"/>
      <c r="I234" s="1"/>
      <c r="J234" s="1"/>
      <c r="K234" s="1"/>
      <c r="L234" s="1"/>
      <c r="M234" s="1"/>
      <c r="N234" s="1" t="s">
        <v>6</v>
      </c>
      <c r="O234" s="1"/>
      <c r="P234" s="1"/>
      <c r="Q234" s="1"/>
      <c r="R234" s="1" t="s">
        <v>6</v>
      </c>
      <c r="S234" s="1" t="s">
        <v>6</v>
      </c>
      <c r="T234" s="1" t="s">
        <v>6</v>
      </c>
      <c r="U234" s="1" t="s">
        <v>6</v>
      </c>
      <c r="V234" s="1"/>
      <c r="W234" s="1"/>
      <c r="X234" s="1">
        <v>0</v>
      </c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>
        <v>0</v>
      </c>
      <c r="AM234" s="1"/>
      <c r="AN234" s="1"/>
      <c r="AO234" s="1" t="s">
        <v>6</v>
      </c>
      <c r="AP234" s="1" t="s">
        <v>6</v>
      </c>
      <c r="AQ234" s="1" t="s">
        <v>6</v>
      </c>
      <c r="AR234" s="1"/>
      <c r="AS234" s="1"/>
      <c r="AT234" s="1" t="s">
        <v>6</v>
      </c>
      <c r="AU234" s="1" t="s">
        <v>6</v>
      </c>
      <c r="AV234" s="1" t="s">
        <v>6</v>
      </c>
      <c r="AW234" s="1" t="s">
        <v>6</v>
      </c>
      <c r="AX234" s="1" t="s">
        <v>6</v>
      </c>
      <c r="AY234" s="1" t="s">
        <v>6</v>
      </c>
      <c r="AZ234" s="1" t="s">
        <v>6</v>
      </c>
      <c r="BA234" s="1" t="s">
        <v>6</v>
      </c>
      <c r="BB234" s="1" t="s">
        <v>6</v>
      </c>
      <c r="BC234" s="1" t="s">
        <v>6</v>
      </c>
      <c r="BD234" s="1" t="s">
        <v>6</v>
      </c>
      <c r="BE234" s="1" t="s">
        <v>480</v>
      </c>
      <c r="BF234" s="1">
        <v>0</v>
      </c>
      <c r="BG234" s="1">
        <v>0</v>
      </c>
      <c r="BH234" s="1" t="s">
        <v>6</v>
      </c>
      <c r="BI234" s="1" t="s">
        <v>6</v>
      </c>
      <c r="BJ234" s="1" t="s">
        <v>6</v>
      </c>
      <c r="BK234" s="1" t="s">
        <v>6</v>
      </c>
      <c r="BL234" s="1" t="s">
        <v>6</v>
      </c>
      <c r="BM234" s="1">
        <v>0</v>
      </c>
      <c r="BN234" s="1" t="s">
        <v>6</v>
      </c>
      <c r="BO234" s="1">
        <v>0</v>
      </c>
    </row>
    <row r="236" spans="1:43" ht="12.75">
      <c r="A236" s="2">
        <v>52</v>
      </c>
      <c r="B236" s="2">
        <f aca="true" t="shared" si="134" ref="B236:AQ236">B240</f>
        <v>1</v>
      </c>
      <c r="C236" s="2">
        <f t="shared" si="134"/>
        <v>4</v>
      </c>
      <c r="D236" s="2">
        <f t="shared" si="134"/>
        <v>234</v>
      </c>
      <c r="E236" s="2">
        <f t="shared" si="134"/>
        <v>0</v>
      </c>
      <c r="F236" s="2" t="str">
        <f t="shared" si="134"/>
        <v>Новый раздел</v>
      </c>
      <c r="G236" s="2" t="str">
        <f t="shared" si="134"/>
        <v>Организация дорожного движения на период строительства</v>
      </c>
      <c r="H236" s="2">
        <f t="shared" si="134"/>
        <v>0</v>
      </c>
      <c r="I236" s="2">
        <f t="shared" si="134"/>
        <v>0</v>
      </c>
      <c r="J236" s="2">
        <f t="shared" si="134"/>
        <v>0</v>
      </c>
      <c r="K236" s="2">
        <f t="shared" si="134"/>
        <v>0</v>
      </c>
      <c r="L236" s="2">
        <f t="shared" si="134"/>
        <v>0</v>
      </c>
      <c r="M236" s="2">
        <f t="shared" si="134"/>
        <v>0</v>
      </c>
      <c r="N236" s="2">
        <f t="shared" si="134"/>
        <v>0</v>
      </c>
      <c r="O236" s="2">
        <f t="shared" si="134"/>
        <v>1168.69</v>
      </c>
      <c r="P236" s="2">
        <f t="shared" si="134"/>
        <v>0</v>
      </c>
      <c r="Q236" s="2">
        <f t="shared" si="134"/>
        <v>632</v>
      </c>
      <c r="R236" s="2">
        <f t="shared" si="134"/>
        <v>261.8</v>
      </c>
      <c r="S236" s="2">
        <f t="shared" si="134"/>
        <v>536.69</v>
      </c>
      <c r="T236" s="2">
        <f t="shared" si="134"/>
        <v>0</v>
      </c>
      <c r="U236" s="2">
        <f t="shared" si="134"/>
        <v>4</v>
      </c>
      <c r="V236" s="2">
        <f t="shared" si="134"/>
        <v>0</v>
      </c>
      <c r="W236" s="2">
        <f t="shared" si="134"/>
        <v>0</v>
      </c>
      <c r="X236" s="2">
        <f t="shared" si="134"/>
        <v>644.03</v>
      </c>
      <c r="Y236" s="2">
        <f t="shared" si="134"/>
        <v>225.41</v>
      </c>
      <c r="Z236" s="2">
        <f t="shared" si="134"/>
        <v>0</v>
      </c>
      <c r="AA236" s="2">
        <f t="shared" si="134"/>
        <v>0</v>
      </c>
      <c r="AB236" s="2">
        <f t="shared" si="134"/>
        <v>1168.69</v>
      </c>
      <c r="AC236" s="2">
        <f t="shared" si="134"/>
        <v>0</v>
      </c>
      <c r="AD236" s="2">
        <f t="shared" si="134"/>
        <v>632</v>
      </c>
      <c r="AE236" s="2">
        <f t="shared" si="134"/>
        <v>261.8</v>
      </c>
      <c r="AF236" s="2">
        <f t="shared" si="134"/>
        <v>536.69</v>
      </c>
      <c r="AG236" s="2">
        <f t="shared" si="134"/>
        <v>0</v>
      </c>
      <c r="AH236" s="2">
        <f t="shared" si="134"/>
        <v>4</v>
      </c>
      <c r="AI236" s="2">
        <f t="shared" si="134"/>
        <v>0</v>
      </c>
      <c r="AJ236" s="2">
        <f t="shared" si="134"/>
        <v>0</v>
      </c>
      <c r="AK236" s="2">
        <f t="shared" si="134"/>
        <v>644.03</v>
      </c>
      <c r="AL236" s="2">
        <f t="shared" si="134"/>
        <v>225.41</v>
      </c>
      <c r="AM236" s="2">
        <f t="shared" si="134"/>
        <v>0</v>
      </c>
      <c r="AN236" s="2">
        <f t="shared" si="134"/>
        <v>0</v>
      </c>
      <c r="AO236" s="2">
        <f t="shared" si="134"/>
        <v>0</v>
      </c>
      <c r="AP236" s="2">
        <f t="shared" si="134"/>
        <v>0</v>
      </c>
      <c r="AQ236" s="2">
        <f t="shared" si="134"/>
        <v>0</v>
      </c>
    </row>
    <row r="238" spans="1:194" ht="12.75">
      <c r="A238">
        <v>17</v>
      </c>
      <c r="B238">
        <v>1</v>
      </c>
      <c r="C238">
        <f>ROW(SmtRes!A95)</f>
        <v>95</v>
      </c>
      <c r="D238">
        <f>ROW(EtalonRes!A96)</f>
        <v>96</v>
      </c>
      <c r="E238" t="s">
        <v>481</v>
      </c>
      <c r="F238" t="s">
        <v>482</v>
      </c>
      <c r="G238" t="s">
        <v>483</v>
      </c>
      <c r="H238" t="s">
        <v>230</v>
      </c>
      <c r="I238">
        <v>100</v>
      </c>
      <c r="J238">
        <v>0</v>
      </c>
      <c r="O238">
        <f>ROUND(CP238,2)</f>
        <v>1168.69</v>
      </c>
      <c r="P238">
        <f>ROUND(CQ238*I238,2)</f>
        <v>0</v>
      </c>
      <c r="Q238">
        <f>ROUND(CR238*I238,2)</f>
        <v>632</v>
      </c>
      <c r="R238">
        <f>ROUND(CS238*I238,2)</f>
        <v>261.8</v>
      </c>
      <c r="S238">
        <f>ROUND(CT238*I238,2)</f>
        <v>536.69</v>
      </c>
      <c r="T238">
        <f>ROUND(CU238*I238,2)</f>
        <v>0</v>
      </c>
      <c r="U238">
        <f>CV238*I238</f>
        <v>4</v>
      </c>
      <c r="V238">
        <f>CW238*I238</f>
        <v>0</v>
      </c>
      <c r="W238">
        <f>ROUND(CX238*I238,2)</f>
        <v>0</v>
      </c>
      <c r="X238">
        <f>ROUND(CY238,2)</f>
        <v>644.03</v>
      </c>
      <c r="Y238">
        <f>ROUND(CZ238,2)</f>
        <v>225.41</v>
      </c>
      <c r="AA238">
        <v>0</v>
      </c>
      <c r="AB238">
        <f>(AC238+AD238+AF238)</f>
        <v>1.21</v>
      </c>
      <c r="AC238">
        <f>(ES238)</f>
        <v>0</v>
      </c>
      <c r="AD238">
        <f>(((ET238)-(EU238))+AE238)</f>
        <v>0.8</v>
      </c>
      <c r="AE238">
        <f>(EU238)</f>
        <v>0.2</v>
      </c>
      <c r="AF238">
        <f>(EV238)</f>
        <v>0.41</v>
      </c>
      <c r="AG238">
        <f>(AP238)</f>
        <v>0</v>
      </c>
      <c r="AH238">
        <f>(EW238)</f>
        <v>0.04</v>
      </c>
      <c r="AI238">
        <f>(EX238)</f>
        <v>0</v>
      </c>
      <c r="AJ238">
        <f>(AS238)</f>
        <v>0</v>
      </c>
      <c r="AK238">
        <v>1.21</v>
      </c>
      <c r="AL238">
        <v>0</v>
      </c>
      <c r="AM238">
        <v>0.8</v>
      </c>
      <c r="AN238">
        <v>0.2</v>
      </c>
      <c r="AO238">
        <v>0.41</v>
      </c>
      <c r="AP238">
        <v>0</v>
      </c>
      <c r="AQ238">
        <v>0.04</v>
      </c>
      <c r="AR238">
        <v>0</v>
      </c>
      <c r="AS238">
        <v>0</v>
      </c>
      <c r="AT238">
        <v>120</v>
      </c>
      <c r="AU238">
        <v>42</v>
      </c>
      <c r="AV238">
        <v>1</v>
      </c>
      <c r="AW238">
        <v>1</v>
      </c>
      <c r="AX238">
        <v>9.658595041322315</v>
      </c>
      <c r="AY238">
        <v>13.09</v>
      </c>
      <c r="AZ238">
        <v>13.09</v>
      </c>
      <c r="BA238">
        <v>13.09</v>
      </c>
      <c r="BB238">
        <v>7.9</v>
      </c>
      <c r="BC238">
        <v>1</v>
      </c>
      <c r="BH238">
        <v>0</v>
      </c>
      <c r="BI238">
        <v>1</v>
      </c>
      <c r="BJ238" t="s">
        <v>484</v>
      </c>
      <c r="BM238">
        <v>668</v>
      </c>
      <c r="BN238">
        <v>0</v>
      </c>
      <c r="BO238" t="s">
        <v>482</v>
      </c>
      <c r="BP238">
        <v>1</v>
      </c>
      <c r="BQ238">
        <v>60</v>
      </c>
      <c r="BR238">
        <v>0</v>
      </c>
      <c r="BS238">
        <v>13.09</v>
      </c>
      <c r="BT238">
        <v>1</v>
      </c>
      <c r="BU238">
        <v>1</v>
      </c>
      <c r="BV238">
        <v>1</v>
      </c>
      <c r="BW238">
        <v>1</v>
      </c>
      <c r="BX238">
        <v>1</v>
      </c>
      <c r="BZ238">
        <v>120</v>
      </c>
      <c r="CA238">
        <v>42</v>
      </c>
      <c r="CF238">
        <v>0</v>
      </c>
      <c r="CG238">
        <v>0</v>
      </c>
      <c r="CM238">
        <v>0</v>
      </c>
      <c r="CO238">
        <v>0</v>
      </c>
      <c r="CP238">
        <f>(P238+Q238+S238)</f>
        <v>1168.69</v>
      </c>
      <c r="CQ238">
        <f>((AC238*AW238))*BC238</f>
        <v>0</v>
      </c>
      <c r="CR238">
        <f>((AD238*AV238))*BB238</f>
        <v>6.32</v>
      </c>
      <c r="CS238">
        <f>((AE238*AV238))*BS238</f>
        <v>2.6180000000000003</v>
      </c>
      <c r="CT238">
        <f>((AF238*AV238))*BA238</f>
        <v>5.366899999999999</v>
      </c>
      <c r="CU238">
        <f>(AG238)*BT238</f>
        <v>0</v>
      </c>
      <c r="CV238">
        <f>((AH238*AV238))*BU238</f>
        <v>0.04</v>
      </c>
      <c r="CW238">
        <f>(AI238)*BV238</f>
        <v>0</v>
      </c>
      <c r="CX238">
        <f>(AJ238)*BW238</f>
        <v>0</v>
      </c>
      <c r="CY238">
        <f>S238*(BZ238/100)</f>
        <v>644.028</v>
      </c>
      <c r="CZ238">
        <f>S238*(CA238/100)</f>
        <v>225.40980000000002</v>
      </c>
      <c r="DN238">
        <v>140</v>
      </c>
      <c r="DO238">
        <v>79</v>
      </c>
      <c r="DP238">
        <v>1</v>
      </c>
      <c r="DQ238">
        <v>1</v>
      </c>
      <c r="DR238">
        <v>1</v>
      </c>
      <c r="DS238">
        <v>9.658595041322315</v>
      </c>
      <c r="DT238">
        <v>13.09</v>
      </c>
      <c r="DU238">
        <v>1003</v>
      </c>
      <c r="DV238" t="s">
        <v>230</v>
      </c>
      <c r="DW238" t="s">
        <v>230</v>
      </c>
      <c r="DX238">
        <v>1</v>
      </c>
      <c r="EE238">
        <v>18684222</v>
      </c>
      <c r="EF238">
        <v>60</v>
      </c>
      <c r="EG238" t="s">
        <v>36</v>
      </c>
      <c r="EH238">
        <v>0</v>
      </c>
      <c r="EJ238">
        <v>1</v>
      </c>
      <c r="EK238">
        <v>668</v>
      </c>
      <c r="EL238" t="s">
        <v>485</v>
      </c>
      <c r="EM238" t="s">
        <v>486</v>
      </c>
      <c r="EQ238">
        <v>64</v>
      </c>
      <c r="ER238">
        <v>1.21</v>
      </c>
      <c r="ES238">
        <v>0</v>
      </c>
      <c r="ET238">
        <v>0.8</v>
      </c>
      <c r="EU238">
        <v>0.2</v>
      </c>
      <c r="EV238">
        <v>0.41</v>
      </c>
      <c r="EW238">
        <v>0.04</v>
      </c>
      <c r="EX238">
        <v>0</v>
      </c>
      <c r="EY238">
        <v>0</v>
      </c>
      <c r="EZ238">
        <v>0</v>
      </c>
      <c r="FQ238">
        <v>0</v>
      </c>
      <c r="FR238">
        <f>ROUND(IF(AND(AA238=0,BI238=3),P238,0),2)</f>
        <v>0</v>
      </c>
      <c r="FS238">
        <v>0</v>
      </c>
      <c r="FX238">
        <v>120</v>
      </c>
      <c r="FY238">
        <v>42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</row>
    <row r="240" spans="1:43" ht="12.75">
      <c r="A240" s="2">
        <v>51</v>
      </c>
      <c r="B240" s="2">
        <f>B234</f>
        <v>1</v>
      </c>
      <c r="C240" s="2">
        <f>A234</f>
        <v>4</v>
      </c>
      <c r="D240" s="2">
        <f>ROW(A234)</f>
        <v>234</v>
      </c>
      <c r="E240" s="2"/>
      <c r="F240" s="2" t="str">
        <f>IF(F234&lt;&gt;"",F234,"")</f>
        <v>Новый раздел</v>
      </c>
      <c r="G240" s="2" t="str">
        <f>IF(G234&lt;&gt;"",G234,"")</f>
        <v>Организация дорожного движения на период строительства</v>
      </c>
      <c r="H240" s="2"/>
      <c r="I240" s="2"/>
      <c r="J240" s="2"/>
      <c r="K240" s="2"/>
      <c r="L240" s="2"/>
      <c r="M240" s="2"/>
      <c r="N240" s="2"/>
      <c r="O240" s="2">
        <f aca="true" t="shared" si="135" ref="O240:Y240">ROUND(AB240,2)</f>
        <v>1168.69</v>
      </c>
      <c r="P240" s="2">
        <f t="shared" si="135"/>
        <v>0</v>
      </c>
      <c r="Q240" s="2">
        <f t="shared" si="135"/>
        <v>632</v>
      </c>
      <c r="R240" s="2">
        <f t="shared" si="135"/>
        <v>261.8</v>
      </c>
      <c r="S240" s="2">
        <f t="shared" si="135"/>
        <v>536.69</v>
      </c>
      <c r="T240" s="2">
        <f t="shared" si="135"/>
        <v>0</v>
      </c>
      <c r="U240" s="2">
        <f t="shared" si="135"/>
        <v>4</v>
      </c>
      <c r="V240" s="2">
        <f t="shared" si="135"/>
        <v>0</v>
      </c>
      <c r="W240" s="2">
        <f t="shared" si="135"/>
        <v>0</v>
      </c>
      <c r="X240" s="2">
        <f t="shared" si="135"/>
        <v>644.03</v>
      </c>
      <c r="Y240" s="2">
        <f t="shared" si="135"/>
        <v>225.41</v>
      </c>
      <c r="Z240" s="2"/>
      <c r="AA240" s="2"/>
      <c r="AB240" s="2">
        <f>ROUND(SUMIF(AA238:AA238,"=0",O238:O238),2)</f>
        <v>1168.69</v>
      </c>
      <c r="AC240" s="2">
        <f>ROUND(SUMIF(AA238:AA238,"=0",P238:P238),2)</f>
        <v>0</v>
      </c>
      <c r="AD240" s="2">
        <f>ROUND(SUMIF(AA238:AA238,"=0",Q238:Q238),2)</f>
        <v>632</v>
      </c>
      <c r="AE240" s="2">
        <f>ROUND(SUMIF(AA238:AA238,"=0",R238:R238),2)</f>
        <v>261.8</v>
      </c>
      <c r="AF240" s="2">
        <f>ROUND(SUMIF(AA238:AA238,"=0",S238:S238),2)</f>
        <v>536.69</v>
      </c>
      <c r="AG240" s="2">
        <f>ROUND(SUMIF(AA238:AA238,"=0",T238:T238),2)</f>
        <v>0</v>
      </c>
      <c r="AH240" s="2">
        <f>ROUND(SUMIF(AA238:AA238,"=0",U238:U238),2)</f>
        <v>4</v>
      </c>
      <c r="AI240" s="2">
        <f>ROUND(SUMIF(AA238:AA238,"=0",V238:V238),2)</f>
        <v>0</v>
      </c>
      <c r="AJ240" s="2">
        <f>ROUND(SUMIF(AA238:AA238,"=0",W238:W238),2)</f>
        <v>0</v>
      </c>
      <c r="AK240" s="2">
        <f>ROUND(SUMIF(AA238:AA238,"=0",X238:X238),2)</f>
        <v>644.03</v>
      </c>
      <c r="AL240" s="2">
        <f>ROUND(SUMIF(AA238:AA238,"=0",Y238:Y238),2)</f>
        <v>225.41</v>
      </c>
      <c r="AM240" s="2"/>
      <c r="AN240" s="2">
        <f>ROUND(AO240,2)</f>
        <v>0</v>
      </c>
      <c r="AO240" s="2">
        <f>ROUND(SUMIF(AA238:AA238,"=0",FQ238:FQ238),2)</f>
        <v>0</v>
      </c>
      <c r="AP240" s="2">
        <f>ROUND(AQ240,2)</f>
        <v>0</v>
      </c>
      <c r="AQ240" s="2">
        <f>ROUND(SUM(FR238:FR238),2)</f>
        <v>0</v>
      </c>
    </row>
    <row r="242" spans="1:14" ht="12.75">
      <c r="A242" s="3">
        <v>50</v>
      </c>
      <c r="B242" s="3">
        <v>0</v>
      </c>
      <c r="C242" s="3">
        <v>0</v>
      </c>
      <c r="D242" s="3">
        <v>1</v>
      </c>
      <c r="E242" s="3">
        <v>201</v>
      </c>
      <c r="F242" s="3">
        <f>Source!O240</f>
        <v>1168.69</v>
      </c>
      <c r="G242" s="3" t="s">
        <v>53</v>
      </c>
      <c r="H242" s="3" t="s">
        <v>54</v>
      </c>
      <c r="I242" s="3"/>
      <c r="J242" s="3"/>
      <c r="K242" s="3">
        <v>201</v>
      </c>
      <c r="L242" s="3">
        <v>1</v>
      </c>
      <c r="M242" s="3">
        <v>3</v>
      </c>
      <c r="N242" s="3" t="s">
        <v>6</v>
      </c>
    </row>
    <row r="243" spans="1:14" ht="12.75">
      <c r="A243" s="3">
        <v>50</v>
      </c>
      <c r="B243" s="3">
        <v>0</v>
      </c>
      <c r="C243" s="3">
        <v>0</v>
      </c>
      <c r="D243" s="3">
        <v>1</v>
      </c>
      <c r="E243" s="3">
        <v>202</v>
      </c>
      <c r="F243" s="3">
        <f>Source!P240</f>
        <v>0</v>
      </c>
      <c r="G243" s="3" t="s">
        <v>55</v>
      </c>
      <c r="H243" s="3" t="s">
        <v>56</v>
      </c>
      <c r="I243" s="3"/>
      <c r="J243" s="3"/>
      <c r="K243" s="3">
        <v>202</v>
      </c>
      <c r="L243" s="3">
        <v>2</v>
      </c>
      <c r="M243" s="3">
        <v>3</v>
      </c>
      <c r="N243" s="3" t="s">
        <v>6</v>
      </c>
    </row>
    <row r="244" spans="1:14" ht="12.75">
      <c r="A244" s="3">
        <v>50</v>
      </c>
      <c r="B244" s="3">
        <v>0</v>
      </c>
      <c r="C244" s="3">
        <v>0</v>
      </c>
      <c r="D244" s="3">
        <v>1</v>
      </c>
      <c r="E244" s="3">
        <v>222</v>
      </c>
      <c r="F244" s="3">
        <f>Source!AN240</f>
        <v>0</v>
      </c>
      <c r="G244" s="3" t="s">
        <v>57</v>
      </c>
      <c r="H244" s="3" t="s">
        <v>58</v>
      </c>
      <c r="I244" s="3"/>
      <c r="J244" s="3"/>
      <c r="K244" s="3">
        <v>222</v>
      </c>
      <c r="L244" s="3">
        <v>3</v>
      </c>
      <c r="M244" s="3">
        <v>3</v>
      </c>
      <c r="N244" s="3" t="s">
        <v>6</v>
      </c>
    </row>
    <row r="245" spans="1:14" ht="12.75">
      <c r="A245" s="3">
        <v>50</v>
      </c>
      <c r="B245" s="3">
        <v>0</v>
      </c>
      <c r="C245" s="3">
        <v>0</v>
      </c>
      <c r="D245" s="3">
        <v>1</v>
      </c>
      <c r="E245" s="3">
        <v>216</v>
      </c>
      <c r="F245" s="3">
        <f>Source!AP240</f>
        <v>0</v>
      </c>
      <c r="G245" s="3" t="s">
        <v>59</v>
      </c>
      <c r="H245" s="3" t="s">
        <v>60</v>
      </c>
      <c r="I245" s="3"/>
      <c r="J245" s="3"/>
      <c r="K245" s="3">
        <v>216</v>
      </c>
      <c r="L245" s="3">
        <v>4</v>
      </c>
      <c r="M245" s="3">
        <v>3</v>
      </c>
      <c r="N245" s="3" t="s">
        <v>6</v>
      </c>
    </row>
    <row r="246" spans="1:14" ht="12.75">
      <c r="A246" s="3">
        <v>50</v>
      </c>
      <c r="B246" s="3">
        <v>0</v>
      </c>
      <c r="C246" s="3">
        <v>0</v>
      </c>
      <c r="D246" s="3">
        <v>1</v>
      </c>
      <c r="E246" s="3">
        <v>203</v>
      </c>
      <c r="F246" s="3">
        <f>Source!Q240</f>
        <v>632</v>
      </c>
      <c r="G246" s="3" t="s">
        <v>61</v>
      </c>
      <c r="H246" s="3" t="s">
        <v>62</v>
      </c>
      <c r="I246" s="3"/>
      <c r="J246" s="3"/>
      <c r="K246" s="3">
        <v>203</v>
      </c>
      <c r="L246" s="3">
        <v>6</v>
      </c>
      <c r="M246" s="3">
        <v>3</v>
      </c>
      <c r="N246" s="3" t="s">
        <v>6</v>
      </c>
    </row>
    <row r="247" spans="1:14" ht="12.75">
      <c r="A247" s="3">
        <v>50</v>
      </c>
      <c r="B247" s="3">
        <v>0</v>
      </c>
      <c r="C247" s="3">
        <v>0</v>
      </c>
      <c r="D247" s="3">
        <v>1</v>
      </c>
      <c r="E247" s="3">
        <v>204</v>
      </c>
      <c r="F247" s="3">
        <f>Source!R240</f>
        <v>261.8</v>
      </c>
      <c r="G247" s="3" t="s">
        <v>63</v>
      </c>
      <c r="H247" s="3" t="s">
        <v>64</v>
      </c>
      <c r="I247" s="3"/>
      <c r="J247" s="3"/>
      <c r="K247" s="3">
        <v>204</v>
      </c>
      <c r="L247" s="3">
        <v>7</v>
      </c>
      <c r="M247" s="3">
        <v>3</v>
      </c>
      <c r="N247" s="3" t="s">
        <v>6</v>
      </c>
    </row>
    <row r="248" spans="1:14" ht="12.75">
      <c r="A248" s="3">
        <v>50</v>
      </c>
      <c r="B248" s="3">
        <v>0</v>
      </c>
      <c r="C248" s="3">
        <v>0</v>
      </c>
      <c r="D248" s="3">
        <v>1</v>
      </c>
      <c r="E248" s="3">
        <v>205</v>
      </c>
      <c r="F248" s="3">
        <f>Source!S240</f>
        <v>536.69</v>
      </c>
      <c r="G248" s="3" t="s">
        <v>65</v>
      </c>
      <c r="H248" s="3" t="s">
        <v>66</v>
      </c>
      <c r="I248" s="3"/>
      <c r="J248" s="3"/>
      <c r="K248" s="3">
        <v>205</v>
      </c>
      <c r="L248" s="3">
        <v>8</v>
      </c>
      <c r="M248" s="3">
        <v>3</v>
      </c>
      <c r="N248" s="3" t="s">
        <v>6</v>
      </c>
    </row>
    <row r="249" spans="1:14" ht="12.75">
      <c r="A249" s="3">
        <v>50</v>
      </c>
      <c r="B249" s="3">
        <v>0</v>
      </c>
      <c r="C249" s="3">
        <v>0</v>
      </c>
      <c r="D249" s="3">
        <v>1</v>
      </c>
      <c r="E249" s="3">
        <v>206</v>
      </c>
      <c r="F249" s="3">
        <f>Source!T240</f>
        <v>0</v>
      </c>
      <c r="G249" s="3" t="s">
        <v>67</v>
      </c>
      <c r="H249" s="3" t="s">
        <v>68</v>
      </c>
      <c r="I249" s="3"/>
      <c r="J249" s="3"/>
      <c r="K249" s="3">
        <v>206</v>
      </c>
      <c r="L249" s="3">
        <v>12</v>
      </c>
      <c r="M249" s="3">
        <v>3</v>
      </c>
      <c r="N249" s="3" t="s">
        <v>6</v>
      </c>
    </row>
    <row r="250" spans="1:14" ht="12.75">
      <c r="A250" s="3">
        <v>50</v>
      </c>
      <c r="B250" s="3">
        <v>0</v>
      </c>
      <c r="C250" s="3">
        <v>0</v>
      </c>
      <c r="D250" s="3">
        <v>1</v>
      </c>
      <c r="E250" s="3">
        <v>207</v>
      </c>
      <c r="F250" s="3">
        <f>Source!U240</f>
        <v>4</v>
      </c>
      <c r="G250" s="3" t="s">
        <v>69</v>
      </c>
      <c r="H250" s="3" t="s">
        <v>70</v>
      </c>
      <c r="I250" s="3"/>
      <c r="J250" s="3"/>
      <c r="K250" s="3">
        <v>207</v>
      </c>
      <c r="L250" s="3">
        <v>13</v>
      </c>
      <c r="M250" s="3">
        <v>3</v>
      </c>
      <c r="N250" s="3" t="s">
        <v>6</v>
      </c>
    </row>
    <row r="251" spans="1:14" ht="12.75">
      <c r="A251" s="3">
        <v>50</v>
      </c>
      <c r="B251" s="3">
        <v>0</v>
      </c>
      <c r="C251" s="3">
        <v>0</v>
      </c>
      <c r="D251" s="3">
        <v>1</v>
      </c>
      <c r="E251" s="3">
        <v>208</v>
      </c>
      <c r="F251" s="3">
        <f>Source!V240</f>
        <v>0</v>
      </c>
      <c r="G251" s="3" t="s">
        <v>71</v>
      </c>
      <c r="H251" s="3" t="s">
        <v>72</v>
      </c>
      <c r="I251" s="3"/>
      <c r="J251" s="3"/>
      <c r="K251" s="3">
        <v>208</v>
      </c>
      <c r="L251" s="3">
        <v>14</v>
      </c>
      <c r="M251" s="3">
        <v>3</v>
      </c>
      <c r="N251" s="3" t="s">
        <v>6</v>
      </c>
    </row>
    <row r="252" spans="1:14" ht="12.75">
      <c r="A252" s="3">
        <v>50</v>
      </c>
      <c r="B252" s="3">
        <v>0</v>
      </c>
      <c r="C252" s="3">
        <v>0</v>
      </c>
      <c r="D252" s="3">
        <v>1</v>
      </c>
      <c r="E252" s="3">
        <v>209</v>
      </c>
      <c r="F252" s="3">
        <f>Source!W240</f>
        <v>0</v>
      </c>
      <c r="G252" s="3" t="s">
        <v>73</v>
      </c>
      <c r="H252" s="3" t="s">
        <v>74</v>
      </c>
      <c r="I252" s="3"/>
      <c r="J252" s="3"/>
      <c r="K252" s="3">
        <v>209</v>
      </c>
      <c r="L252" s="3">
        <v>15</v>
      </c>
      <c r="M252" s="3">
        <v>3</v>
      </c>
      <c r="N252" s="3" t="s">
        <v>6</v>
      </c>
    </row>
    <row r="253" spans="1:14" ht="12.75">
      <c r="A253" s="3">
        <v>50</v>
      </c>
      <c r="B253" s="3">
        <v>0</v>
      </c>
      <c r="C253" s="3">
        <v>0</v>
      </c>
      <c r="D253" s="3">
        <v>1</v>
      </c>
      <c r="E253" s="3">
        <v>210</v>
      </c>
      <c r="F253" s="3">
        <f>Source!X240</f>
        <v>644.03</v>
      </c>
      <c r="G253" s="3" t="s">
        <v>75</v>
      </c>
      <c r="H253" s="3" t="s">
        <v>76</v>
      </c>
      <c r="I253" s="3"/>
      <c r="J253" s="3"/>
      <c r="K253" s="3">
        <v>210</v>
      </c>
      <c r="L253" s="3">
        <v>16</v>
      </c>
      <c r="M253" s="3">
        <v>3</v>
      </c>
      <c r="N253" s="3" t="s">
        <v>6</v>
      </c>
    </row>
    <row r="254" spans="1:14" ht="12.75">
      <c r="A254" s="3">
        <v>50</v>
      </c>
      <c r="B254" s="3">
        <v>0</v>
      </c>
      <c r="C254" s="3">
        <v>0</v>
      </c>
      <c r="D254" s="3">
        <v>1</v>
      </c>
      <c r="E254" s="3">
        <v>211</v>
      </c>
      <c r="F254" s="3">
        <f>Source!Y240</f>
        <v>225.41</v>
      </c>
      <c r="G254" s="3" t="s">
        <v>77</v>
      </c>
      <c r="H254" s="3" t="s">
        <v>78</v>
      </c>
      <c r="I254" s="3"/>
      <c r="J254" s="3"/>
      <c r="K254" s="3">
        <v>211</v>
      </c>
      <c r="L254" s="3">
        <v>17</v>
      </c>
      <c r="M254" s="3">
        <v>3</v>
      </c>
      <c r="N254" s="3" t="s">
        <v>6</v>
      </c>
    </row>
    <row r="256" spans="1:43" ht="12.75">
      <c r="A256" s="2">
        <v>51</v>
      </c>
      <c r="B256" s="2">
        <f>B20</f>
        <v>1</v>
      </c>
      <c r="C256" s="2">
        <f>A20</f>
        <v>3</v>
      </c>
      <c r="D256" s="2">
        <f>ROW(A20)</f>
        <v>20</v>
      </c>
      <c r="E256" s="2"/>
      <c r="F256" s="2" t="str">
        <f>IF(F20&lt;&gt;"",F20,"")</f>
        <v>Новая локальная смета</v>
      </c>
      <c r="G256" s="2" t="str">
        <f>IF(G20&lt;&gt;"",G20,"")</f>
        <v>Новая локальная смета</v>
      </c>
      <c r="H256" s="2"/>
      <c r="I256" s="2"/>
      <c r="J256" s="2"/>
      <c r="K256" s="2"/>
      <c r="L256" s="2"/>
      <c r="M256" s="2"/>
      <c r="N256" s="2"/>
      <c r="O256" s="2">
        <f aca="true" t="shared" si="136" ref="O256:Y256">ROUND(O33+O78+O115+O139+O193+O218+O240+AB256,2)</f>
        <v>516286.03</v>
      </c>
      <c r="P256" s="2">
        <f t="shared" si="136"/>
        <v>454494.68</v>
      </c>
      <c r="Q256" s="2">
        <f t="shared" si="136"/>
        <v>26645.05</v>
      </c>
      <c r="R256" s="2">
        <f t="shared" si="136"/>
        <v>10427.77</v>
      </c>
      <c r="S256" s="2">
        <f t="shared" si="136"/>
        <v>35146.3</v>
      </c>
      <c r="T256" s="2">
        <f t="shared" si="136"/>
        <v>0</v>
      </c>
      <c r="U256" s="2">
        <f t="shared" si="136"/>
        <v>206.1</v>
      </c>
      <c r="V256" s="2">
        <f t="shared" si="136"/>
        <v>0</v>
      </c>
      <c r="W256" s="2">
        <f t="shared" si="136"/>
        <v>0</v>
      </c>
      <c r="X256" s="2">
        <f t="shared" si="136"/>
        <v>33437.58</v>
      </c>
      <c r="Y256" s="2">
        <f t="shared" si="136"/>
        <v>14868.12</v>
      </c>
      <c r="Z256" s="2"/>
      <c r="AA256" s="2"/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/>
      <c r="AN256" s="2">
        <f>ROUND(AN33+AN78+AN115+AN139+AN193+AN218+AN240+AO256,2)</f>
        <v>0</v>
      </c>
      <c r="AO256" s="2">
        <v>0</v>
      </c>
      <c r="AP256" s="2">
        <f>ROUND(AP33+AP78+AP115+AP139+AP193+AP218+AP240+AQ256,2)</f>
        <v>352725.37</v>
      </c>
      <c r="AQ256" s="2">
        <v>0</v>
      </c>
    </row>
    <row r="258" spans="1:14" ht="12.75">
      <c r="A258" s="3">
        <v>50</v>
      </c>
      <c r="B258" s="3">
        <v>0</v>
      </c>
      <c r="C258" s="3">
        <v>0</v>
      </c>
      <c r="D258" s="3">
        <v>1</v>
      </c>
      <c r="E258" s="3">
        <v>201</v>
      </c>
      <c r="F258" s="3">
        <f>Source!O256</f>
        <v>516286.03</v>
      </c>
      <c r="G258" s="3" t="s">
        <v>53</v>
      </c>
      <c r="H258" s="3" t="s">
        <v>54</v>
      </c>
      <c r="I258" s="3"/>
      <c r="J258" s="3"/>
      <c r="K258" s="3">
        <v>201</v>
      </c>
      <c r="L258" s="3">
        <v>1</v>
      </c>
      <c r="M258" s="3">
        <v>3</v>
      </c>
      <c r="N258" s="3" t="s">
        <v>6</v>
      </c>
    </row>
    <row r="259" spans="1:14" ht="12.75">
      <c r="A259" s="3">
        <v>50</v>
      </c>
      <c r="B259" s="3">
        <v>0</v>
      </c>
      <c r="C259" s="3">
        <v>0</v>
      </c>
      <c r="D259" s="3">
        <v>1</v>
      </c>
      <c r="E259" s="3">
        <v>202</v>
      </c>
      <c r="F259" s="3">
        <f>Source!P256</f>
        <v>454494.68</v>
      </c>
      <c r="G259" s="3" t="s">
        <v>55</v>
      </c>
      <c r="H259" s="3" t="s">
        <v>56</v>
      </c>
      <c r="I259" s="3"/>
      <c r="J259" s="3"/>
      <c r="K259" s="3">
        <v>202</v>
      </c>
      <c r="L259" s="3">
        <v>2</v>
      </c>
      <c r="M259" s="3">
        <v>3</v>
      </c>
      <c r="N259" s="3" t="s">
        <v>6</v>
      </c>
    </row>
    <row r="260" spans="1:14" ht="12.75">
      <c r="A260" s="3">
        <v>50</v>
      </c>
      <c r="B260" s="3">
        <v>0</v>
      </c>
      <c r="C260" s="3">
        <v>0</v>
      </c>
      <c r="D260" s="3">
        <v>1</v>
      </c>
      <c r="E260" s="3">
        <v>222</v>
      </c>
      <c r="F260" s="3">
        <f>Source!AN256</f>
        <v>0</v>
      </c>
      <c r="G260" s="3" t="s">
        <v>57</v>
      </c>
      <c r="H260" s="3" t="s">
        <v>58</v>
      </c>
      <c r="I260" s="3"/>
      <c r="J260" s="3"/>
      <c r="K260" s="3">
        <v>222</v>
      </c>
      <c r="L260" s="3">
        <v>3</v>
      </c>
      <c r="M260" s="3">
        <v>3</v>
      </c>
      <c r="N260" s="3" t="s">
        <v>6</v>
      </c>
    </row>
    <row r="261" spans="1:14" ht="12.75">
      <c r="A261" s="3">
        <v>50</v>
      </c>
      <c r="B261" s="3">
        <v>0</v>
      </c>
      <c r="C261" s="3">
        <v>0</v>
      </c>
      <c r="D261" s="3">
        <v>1</v>
      </c>
      <c r="E261" s="3">
        <v>216</v>
      </c>
      <c r="F261" s="3">
        <f>Source!AP256</f>
        <v>352725.37</v>
      </c>
      <c r="G261" s="3" t="s">
        <v>59</v>
      </c>
      <c r="H261" s="3" t="s">
        <v>60</v>
      </c>
      <c r="I261" s="3"/>
      <c r="J261" s="3"/>
      <c r="K261" s="3">
        <v>216</v>
      </c>
      <c r="L261" s="3">
        <v>4</v>
      </c>
      <c r="M261" s="3">
        <v>3</v>
      </c>
      <c r="N261" s="3" t="s">
        <v>6</v>
      </c>
    </row>
    <row r="262" spans="1:14" ht="12.75">
      <c r="A262" s="3">
        <v>50</v>
      </c>
      <c r="B262" s="3">
        <v>0</v>
      </c>
      <c r="C262" s="3">
        <v>0</v>
      </c>
      <c r="D262" s="3">
        <v>1</v>
      </c>
      <c r="E262" s="3">
        <v>203</v>
      </c>
      <c r="F262" s="3">
        <f>Source!Q256</f>
        <v>26645.05</v>
      </c>
      <c r="G262" s="3" t="s">
        <v>61</v>
      </c>
      <c r="H262" s="3" t="s">
        <v>62</v>
      </c>
      <c r="I262" s="3"/>
      <c r="J262" s="3"/>
      <c r="K262" s="3">
        <v>203</v>
      </c>
      <c r="L262" s="3">
        <v>6</v>
      </c>
      <c r="M262" s="3">
        <v>3</v>
      </c>
      <c r="N262" s="3" t="s">
        <v>6</v>
      </c>
    </row>
    <row r="263" spans="1:14" ht="12.75">
      <c r="A263" s="3">
        <v>50</v>
      </c>
      <c r="B263" s="3">
        <v>0</v>
      </c>
      <c r="C263" s="3">
        <v>0</v>
      </c>
      <c r="D263" s="3">
        <v>1</v>
      </c>
      <c r="E263" s="3">
        <v>204</v>
      </c>
      <c r="F263" s="3">
        <f>Source!R256</f>
        <v>10427.77</v>
      </c>
      <c r="G263" s="3" t="s">
        <v>63</v>
      </c>
      <c r="H263" s="3" t="s">
        <v>64</v>
      </c>
      <c r="I263" s="3"/>
      <c r="J263" s="3"/>
      <c r="K263" s="3">
        <v>204</v>
      </c>
      <c r="L263" s="3">
        <v>7</v>
      </c>
      <c r="M263" s="3">
        <v>3</v>
      </c>
      <c r="N263" s="3" t="s">
        <v>6</v>
      </c>
    </row>
    <row r="264" spans="1:14" ht="12.75">
      <c r="A264" s="3">
        <v>50</v>
      </c>
      <c r="B264" s="3">
        <v>0</v>
      </c>
      <c r="C264" s="3">
        <v>0</v>
      </c>
      <c r="D264" s="3">
        <v>1</v>
      </c>
      <c r="E264" s="3">
        <v>205</v>
      </c>
      <c r="F264" s="3">
        <f>Source!S256</f>
        <v>35146.3</v>
      </c>
      <c r="G264" s="3" t="s">
        <v>65</v>
      </c>
      <c r="H264" s="3" t="s">
        <v>66</v>
      </c>
      <c r="I264" s="3"/>
      <c r="J264" s="3"/>
      <c r="K264" s="3">
        <v>205</v>
      </c>
      <c r="L264" s="3">
        <v>8</v>
      </c>
      <c r="M264" s="3">
        <v>3</v>
      </c>
      <c r="N264" s="3" t="s">
        <v>6</v>
      </c>
    </row>
    <row r="265" spans="1:14" ht="12.75">
      <c r="A265" s="3">
        <v>50</v>
      </c>
      <c r="B265" s="3">
        <v>0</v>
      </c>
      <c r="C265" s="3">
        <v>0</v>
      </c>
      <c r="D265" s="3">
        <v>1</v>
      </c>
      <c r="E265" s="3">
        <v>206</v>
      </c>
      <c r="F265" s="3">
        <f>Source!T256</f>
        <v>0</v>
      </c>
      <c r="G265" s="3" t="s">
        <v>67</v>
      </c>
      <c r="H265" s="3" t="s">
        <v>68</v>
      </c>
      <c r="I265" s="3"/>
      <c r="J265" s="3"/>
      <c r="K265" s="3">
        <v>206</v>
      </c>
      <c r="L265" s="3">
        <v>12</v>
      </c>
      <c r="M265" s="3">
        <v>3</v>
      </c>
      <c r="N265" s="3" t="s">
        <v>6</v>
      </c>
    </row>
    <row r="266" spans="1:14" ht="12.75">
      <c r="A266" s="3">
        <v>50</v>
      </c>
      <c r="B266" s="3">
        <v>0</v>
      </c>
      <c r="C266" s="3">
        <v>0</v>
      </c>
      <c r="D266" s="3">
        <v>1</v>
      </c>
      <c r="E266" s="3">
        <v>207</v>
      </c>
      <c r="F266" s="3">
        <f>Source!U256</f>
        <v>206.1</v>
      </c>
      <c r="G266" s="3" t="s">
        <v>69</v>
      </c>
      <c r="H266" s="3" t="s">
        <v>70</v>
      </c>
      <c r="I266" s="3"/>
      <c r="J266" s="3"/>
      <c r="K266" s="3">
        <v>207</v>
      </c>
      <c r="L266" s="3">
        <v>13</v>
      </c>
      <c r="M266" s="3">
        <v>3</v>
      </c>
      <c r="N266" s="3" t="s">
        <v>6</v>
      </c>
    </row>
    <row r="267" spans="1:14" ht="12.75">
      <c r="A267" s="3">
        <v>50</v>
      </c>
      <c r="B267" s="3">
        <v>0</v>
      </c>
      <c r="C267" s="3">
        <v>0</v>
      </c>
      <c r="D267" s="3">
        <v>1</v>
      </c>
      <c r="E267" s="3">
        <v>208</v>
      </c>
      <c r="F267" s="3">
        <f>Source!V256</f>
        <v>0</v>
      </c>
      <c r="G267" s="3" t="s">
        <v>71</v>
      </c>
      <c r="H267" s="3" t="s">
        <v>72</v>
      </c>
      <c r="I267" s="3"/>
      <c r="J267" s="3"/>
      <c r="K267" s="3">
        <v>208</v>
      </c>
      <c r="L267" s="3">
        <v>14</v>
      </c>
      <c r="M267" s="3">
        <v>3</v>
      </c>
      <c r="N267" s="3" t="s">
        <v>6</v>
      </c>
    </row>
    <row r="268" spans="1:14" ht="12.75">
      <c r="A268" s="3">
        <v>50</v>
      </c>
      <c r="B268" s="3">
        <v>0</v>
      </c>
      <c r="C268" s="3">
        <v>0</v>
      </c>
      <c r="D268" s="3">
        <v>1</v>
      </c>
      <c r="E268" s="3">
        <v>209</v>
      </c>
      <c r="F268" s="3">
        <f>Source!W256</f>
        <v>0</v>
      </c>
      <c r="G268" s="3" t="s">
        <v>73</v>
      </c>
      <c r="H268" s="3" t="s">
        <v>74</v>
      </c>
      <c r="I268" s="3"/>
      <c r="J268" s="3"/>
      <c r="K268" s="3">
        <v>209</v>
      </c>
      <c r="L268" s="3">
        <v>15</v>
      </c>
      <c r="M268" s="3">
        <v>3</v>
      </c>
      <c r="N268" s="3" t="s">
        <v>6</v>
      </c>
    </row>
    <row r="269" spans="1:14" ht="12.75">
      <c r="A269" s="3">
        <v>50</v>
      </c>
      <c r="B269" s="3">
        <v>0</v>
      </c>
      <c r="C269" s="3">
        <v>0</v>
      </c>
      <c r="D269" s="3">
        <v>1</v>
      </c>
      <c r="E269" s="3">
        <v>210</v>
      </c>
      <c r="F269" s="3">
        <f>Source!X256</f>
        <v>33437.58</v>
      </c>
      <c r="G269" s="3" t="s">
        <v>75</v>
      </c>
      <c r="H269" s="3" t="s">
        <v>76</v>
      </c>
      <c r="I269" s="3"/>
      <c r="J269" s="3"/>
      <c r="K269" s="3">
        <v>210</v>
      </c>
      <c r="L269" s="3">
        <v>16</v>
      </c>
      <c r="M269" s="3">
        <v>3</v>
      </c>
      <c r="N269" s="3" t="s">
        <v>6</v>
      </c>
    </row>
    <row r="270" spans="1:14" ht="12.75">
      <c r="A270" s="3">
        <v>50</v>
      </c>
      <c r="B270" s="3">
        <v>0</v>
      </c>
      <c r="C270" s="3">
        <v>0</v>
      </c>
      <c r="D270" s="3">
        <v>1</v>
      </c>
      <c r="E270" s="3">
        <v>211</v>
      </c>
      <c r="F270" s="3">
        <f>Source!Y256</f>
        <v>14868.12</v>
      </c>
      <c r="G270" s="3" t="s">
        <v>77</v>
      </c>
      <c r="H270" s="3" t="s">
        <v>78</v>
      </c>
      <c r="I270" s="3"/>
      <c r="J270" s="3"/>
      <c r="K270" s="3">
        <v>211</v>
      </c>
      <c r="L270" s="3">
        <v>17</v>
      </c>
      <c r="M270" s="3">
        <v>3</v>
      </c>
      <c r="N270" s="3" t="s">
        <v>6</v>
      </c>
    </row>
    <row r="272" spans="1:43" ht="12.75">
      <c r="A272" s="2">
        <v>51</v>
      </c>
      <c r="B272" s="2">
        <f>B12</f>
        <v>1</v>
      </c>
      <c r="C272" s="2">
        <f>A12</f>
        <v>1</v>
      </c>
      <c r="D272" s="2">
        <f>ROW(A12)</f>
        <v>12</v>
      </c>
      <c r="E272" s="2"/>
      <c r="F272" s="2" t="str">
        <f>IF(F12&lt;&gt;"",F12,"")</f>
        <v>Новый объект</v>
      </c>
      <c r="G272" s="2" t="str">
        <f>IF(G12&lt;&gt;"",G12,"")</f>
        <v>13-55-111_1 ТВ камера_ОККМ_КАБ КАНАЛ_асф )</v>
      </c>
      <c r="H272" s="2"/>
      <c r="I272" s="2"/>
      <c r="J272" s="2"/>
      <c r="K272" s="2"/>
      <c r="L272" s="2"/>
      <c r="M272" s="2"/>
      <c r="N272" s="2"/>
      <c r="O272" s="2">
        <f aca="true" t="shared" si="137" ref="O272:Y272">ROUND(O256,2)</f>
        <v>516286.03</v>
      </c>
      <c r="P272" s="2">
        <f t="shared" si="137"/>
        <v>454494.68</v>
      </c>
      <c r="Q272" s="2">
        <f t="shared" si="137"/>
        <v>26645.05</v>
      </c>
      <c r="R272" s="2">
        <f t="shared" si="137"/>
        <v>10427.77</v>
      </c>
      <c r="S272" s="2">
        <f t="shared" si="137"/>
        <v>35146.3</v>
      </c>
      <c r="T272" s="2">
        <f t="shared" si="137"/>
        <v>0</v>
      </c>
      <c r="U272" s="2">
        <f t="shared" si="137"/>
        <v>206.1</v>
      </c>
      <c r="V272" s="2">
        <f t="shared" si="137"/>
        <v>0</v>
      </c>
      <c r="W272" s="2">
        <f t="shared" si="137"/>
        <v>0</v>
      </c>
      <c r="X272" s="2">
        <f t="shared" si="137"/>
        <v>33437.58</v>
      </c>
      <c r="Y272" s="2">
        <f t="shared" si="137"/>
        <v>14868.12</v>
      </c>
      <c r="Z272" s="2"/>
      <c r="AA272" s="2"/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/>
      <c r="AN272" s="2">
        <f>ROUND(AN256,2)</f>
        <v>0</v>
      </c>
      <c r="AO272" s="2">
        <v>0</v>
      </c>
      <c r="AP272" s="2">
        <f>ROUND(AP256,2)</f>
        <v>352725.37</v>
      </c>
      <c r="AQ272" s="2">
        <v>0</v>
      </c>
    </row>
    <row r="274" spans="1:14" ht="12.75">
      <c r="A274" s="3">
        <v>50</v>
      </c>
      <c r="B274" s="3">
        <v>0</v>
      </c>
      <c r="C274" s="3">
        <v>0</v>
      </c>
      <c r="D274" s="3">
        <v>1</v>
      </c>
      <c r="E274" s="3">
        <v>201</v>
      </c>
      <c r="F274" s="3">
        <f>Source!O272</f>
        <v>516286.03</v>
      </c>
      <c r="G274" s="3" t="s">
        <v>53</v>
      </c>
      <c r="H274" s="3" t="s">
        <v>54</v>
      </c>
      <c r="I274" s="3"/>
      <c r="J274" s="3"/>
      <c r="K274" s="3">
        <v>201</v>
      </c>
      <c r="L274" s="3">
        <v>1</v>
      </c>
      <c r="M274" s="3">
        <v>3</v>
      </c>
      <c r="N274" s="3" t="s">
        <v>6</v>
      </c>
    </row>
    <row r="275" spans="1:14" ht="12.75">
      <c r="A275" s="3">
        <v>50</v>
      </c>
      <c r="B275" s="3">
        <v>0</v>
      </c>
      <c r="C275" s="3">
        <v>0</v>
      </c>
      <c r="D275" s="3">
        <v>1</v>
      </c>
      <c r="E275" s="3">
        <v>202</v>
      </c>
      <c r="F275" s="3">
        <f>Source!P272</f>
        <v>454494.68</v>
      </c>
      <c r="G275" s="3" t="s">
        <v>55</v>
      </c>
      <c r="H275" s="3" t="s">
        <v>56</v>
      </c>
      <c r="I275" s="3"/>
      <c r="J275" s="3"/>
      <c r="K275" s="3">
        <v>202</v>
      </c>
      <c r="L275" s="3">
        <v>2</v>
      </c>
      <c r="M275" s="3">
        <v>3</v>
      </c>
      <c r="N275" s="3" t="s">
        <v>6</v>
      </c>
    </row>
    <row r="276" spans="1:14" ht="12.75">
      <c r="A276" s="3">
        <v>50</v>
      </c>
      <c r="B276" s="3">
        <v>0</v>
      </c>
      <c r="C276" s="3">
        <v>0</v>
      </c>
      <c r="D276" s="3">
        <v>1</v>
      </c>
      <c r="E276" s="3">
        <v>222</v>
      </c>
      <c r="F276" s="3">
        <f>Source!AN272</f>
        <v>0</v>
      </c>
      <c r="G276" s="3" t="s">
        <v>57</v>
      </c>
      <c r="H276" s="3" t="s">
        <v>58</v>
      </c>
      <c r="I276" s="3"/>
      <c r="J276" s="3"/>
      <c r="K276" s="3">
        <v>222</v>
      </c>
      <c r="L276" s="3">
        <v>3</v>
      </c>
      <c r="M276" s="3">
        <v>3</v>
      </c>
      <c r="N276" s="3" t="s">
        <v>6</v>
      </c>
    </row>
    <row r="277" spans="1:14" ht="12.75">
      <c r="A277" s="3">
        <v>50</v>
      </c>
      <c r="B277" s="3">
        <v>0</v>
      </c>
      <c r="C277" s="3">
        <v>0</v>
      </c>
      <c r="D277" s="3">
        <v>1</v>
      </c>
      <c r="E277" s="3">
        <v>216</v>
      </c>
      <c r="F277" s="3">
        <f>Source!AP272</f>
        <v>352725.37</v>
      </c>
      <c r="G277" s="3" t="s">
        <v>59</v>
      </c>
      <c r="H277" s="3" t="s">
        <v>60</v>
      </c>
      <c r="I277" s="3"/>
      <c r="J277" s="3"/>
      <c r="K277" s="3">
        <v>216</v>
      </c>
      <c r="L277" s="3">
        <v>4</v>
      </c>
      <c r="M277" s="3">
        <v>3</v>
      </c>
      <c r="N277" s="3" t="s">
        <v>6</v>
      </c>
    </row>
    <row r="278" spans="1:14" ht="12.75">
      <c r="A278" s="3">
        <v>50</v>
      </c>
      <c r="B278" s="3">
        <v>0</v>
      </c>
      <c r="C278" s="3">
        <v>0</v>
      </c>
      <c r="D278" s="3">
        <v>1</v>
      </c>
      <c r="E278" s="3">
        <v>203</v>
      </c>
      <c r="F278" s="3">
        <f>Source!Q272</f>
        <v>26645.05</v>
      </c>
      <c r="G278" s="3" t="s">
        <v>61</v>
      </c>
      <c r="H278" s="3" t="s">
        <v>62</v>
      </c>
      <c r="I278" s="3"/>
      <c r="J278" s="3"/>
      <c r="K278" s="3">
        <v>203</v>
      </c>
      <c r="L278" s="3">
        <v>6</v>
      </c>
      <c r="M278" s="3">
        <v>3</v>
      </c>
      <c r="N278" s="3" t="s">
        <v>6</v>
      </c>
    </row>
    <row r="279" spans="1:14" ht="12.75">
      <c r="A279" s="3">
        <v>50</v>
      </c>
      <c r="B279" s="3">
        <v>0</v>
      </c>
      <c r="C279" s="3">
        <v>0</v>
      </c>
      <c r="D279" s="3">
        <v>1</v>
      </c>
      <c r="E279" s="3">
        <v>204</v>
      </c>
      <c r="F279" s="3">
        <f>Source!R272</f>
        <v>10427.77</v>
      </c>
      <c r="G279" s="3" t="s">
        <v>63</v>
      </c>
      <c r="H279" s="3" t="s">
        <v>64</v>
      </c>
      <c r="I279" s="3"/>
      <c r="J279" s="3"/>
      <c r="K279" s="3">
        <v>204</v>
      </c>
      <c r="L279" s="3">
        <v>7</v>
      </c>
      <c r="M279" s="3">
        <v>3</v>
      </c>
      <c r="N279" s="3" t="s">
        <v>6</v>
      </c>
    </row>
    <row r="280" spans="1:14" ht="12.75">
      <c r="A280" s="3">
        <v>50</v>
      </c>
      <c r="B280" s="3">
        <v>0</v>
      </c>
      <c r="C280" s="3">
        <v>0</v>
      </c>
      <c r="D280" s="3">
        <v>1</v>
      </c>
      <c r="E280" s="3">
        <v>205</v>
      </c>
      <c r="F280" s="3">
        <f>Source!S272</f>
        <v>35146.3</v>
      </c>
      <c r="G280" s="3" t="s">
        <v>65</v>
      </c>
      <c r="H280" s="3" t="s">
        <v>66</v>
      </c>
      <c r="I280" s="3"/>
      <c r="J280" s="3"/>
      <c r="K280" s="3">
        <v>205</v>
      </c>
      <c r="L280" s="3">
        <v>8</v>
      </c>
      <c r="M280" s="3">
        <v>3</v>
      </c>
      <c r="N280" s="3" t="s">
        <v>6</v>
      </c>
    </row>
    <row r="281" spans="1:14" ht="12.75">
      <c r="A281" s="3">
        <v>50</v>
      </c>
      <c r="B281" s="3">
        <v>0</v>
      </c>
      <c r="C281" s="3">
        <v>0</v>
      </c>
      <c r="D281" s="3">
        <v>1</v>
      </c>
      <c r="E281" s="3">
        <v>206</v>
      </c>
      <c r="F281" s="3">
        <f>Source!T272</f>
        <v>0</v>
      </c>
      <c r="G281" s="3" t="s">
        <v>67</v>
      </c>
      <c r="H281" s="3" t="s">
        <v>68</v>
      </c>
      <c r="I281" s="3"/>
      <c r="J281" s="3"/>
      <c r="K281" s="3">
        <v>206</v>
      </c>
      <c r="L281" s="3">
        <v>12</v>
      </c>
      <c r="M281" s="3">
        <v>3</v>
      </c>
      <c r="N281" s="3" t="s">
        <v>6</v>
      </c>
    </row>
    <row r="282" spans="1:14" ht="12.75">
      <c r="A282" s="3">
        <v>50</v>
      </c>
      <c r="B282" s="3">
        <v>0</v>
      </c>
      <c r="C282" s="3">
        <v>0</v>
      </c>
      <c r="D282" s="3">
        <v>1</v>
      </c>
      <c r="E282" s="3">
        <v>207</v>
      </c>
      <c r="F282" s="3">
        <f>Source!U272</f>
        <v>206.1</v>
      </c>
      <c r="G282" s="3" t="s">
        <v>69</v>
      </c>
      <c r="H282" s="3" t="s">
        <v>70</v>
      </c>
      <c r="I282" s="3"/>
      <c r="J282" s="3"/>
      <c r="K282" s="3">
        <v>207</v>
      </c>
      <c r="L282" s="3">
        <v>13</v>
      </c>
      <c r="M282" s="3">
        <v>3</v>
      </c>
      <c r="N282" s="3" t="s">
        <v>6</v>
      </c>
    </row>
    <row r="283" spans="1:14" ht="12.75">
      <c r="A283" s="3">
        <v>50</v>
      </c>
      <c r="B283" s="3">
        <v>0</v>
      </c>
      <c r="C283" s="3">
        <v>0</v>
      </c>
      <c r="D283" s="3">
        <v>1</v>
      </c>
      <c r="E283" s="3">
        <v>208</v>
      </c>
      <c r="F283" s="3">
        <f>Source!V272</f>
        <v>0</v>
      </c>
      <c r="G283" s="3" t="s">
        <v>71</v>
      </c>
      <c r="H283" s="3" t="s">
        <v>72</v>
      </c>
      <c r="I283" s="3"/>
      <c r="J283" s="3"/>
      <c r="K283" s="3">
        <v>208</v>
      </c>
      <c r="L283" s="3">
        <v>14</v>
      </c>
      <c r="M283" s="3">
        <v>3</v>
      </c>
      <c r="N283" s="3" t="s">
        <v>6</v>
      </c>
    </row>
    <row r="284" spans="1:14" ht="12.75">
      <c r="A284" s="3">
        <v>50</v>
      </c>
      <c r="B284" s="3">
        <v>0</v>
      </c>
      <c r="C284" s="3">
        <v>0</v>
      </c>
      <c r="D284" s="3">
        <v>1</v>
      </c>
      <c r="E284" s="3">
        <v>209</v>
      </c>
      <c r="F284" s="3">
        <f>Source!W272</f>
        <v>0</v>
      </c>
      <c r="G284" s="3" t="s">
        <v>73</v>
      </c>
      <c r="H284" s="3" t="s">
        <v>74</v>
      </c>
      <c r="I284" s="3"/>
      <c r="J284" s="3"/>
      <c r="K284" s="3">
        <v>209</v>
      </c>
      <c r="L284" s="3">
        <v>15</v>
      </c>
      <c r="M284" s="3">
        <v>3</v>
      </c>
      <c r="N284" s="3" t="s">
        <v>6</v>
      </c>
    </row>
    <row r="285" spans="1:14" ht="12.75">
      <c r="A285" s="3">
        <v>50</v>
      </c>
      <c r="B285" s="3">
        <v>0</v>
      </c>
      <c r="C285" s="3">
        <v>0</v>
      </c>
      <c r="D285" s="3">
        <v>1</v>
      </c>
      <c r="E285" s="3">
        <v>210</v>
      </c>
      <c r="F285" s="3">
        <f>Source!X272</f>
        <v>33437.58</v>
      </c>
      <c r="G285" s="3" t="s">
        <v>75</v>
      </c>
      <c r="H285" s="3" t="s">
        <v>76</v>
      </c>
      <c r="I285" s="3"/>
      <c r="J285" s="3"/>
      <c r="K285" s="3">
        <v>210</v>
      </c>
      <c r="L285" s="3">
        <v>16</v>
      </c>
      <c r="M285" s="3">
        <v>3</v>
      </c>
      <c r="N285" s="3" t="s">
        <v>6</v>
      </c>
    </row>
    <row r="286" spans="1:14" ht="12.75">
      <c r="A286" s="3">
        <v>50</v>
      </c>
      <c r="B286" s="3">
        <v>0</v>
      </c>
      <c r="C286" s="3">
        <v>0</v>
      </c>
      <c r="D286" s="3">
        <v>1</v>
      </c>
      <c r="E286" s="3">
        <v>211</v>
      </c>
      <c r="F286" s="3">
        <f>Source!Y272</f>
        <v>14868.12</v>
      </c>
      <c r="G286" s="3" t="s">
        <v>77</v>
      </c>
      <c r="H286" s="3" t="s">
        <v>78</v>
      </c>
      <c r="I286" s="3"/>
      <c r="J286" s="3"/>
      <c r="K286" s="3">
        <v>211</v>
      </c>
      <c r="L286" s="3">
        <v>17</v>
      </c>
      <c r="M286" s="3">
        <v>3</v>
      </c>
      <c r="N286" s="3" t="s">
        <v>6</v>
      </c>
    </row>
    <row r="290" spans="1:5" ht="12.75">
      <c r="A290">
        <v>65</v>
      </c>
      <c r="C290">
        <v>1</v>
      </c>
      <c r="D290">
        <v>0</v>
      </c>
      <c r="E290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9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ROW(Source!A29)</f>
        <v>29</v>
      </c>
      <c r="B1">
        <v>18916435</v>
      </c>
      <c r="C1">
        <v>18916434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487</v>
      </c>
      <c r="K1" t="s">
        <v>488</v>
      </c>
      <c r="L1">
        <v>1191</v>
      </c>
      <c r="N1">
        <v>1013</v>
      </c>
      <c r="O1" t="s">
        <v>489</v>
      </c>
      <c r="P1" t="s">
        <v>489</v>
      </c>
      <c r="Q1">
        <v>1</v>
      </c>
      <c r="Y1">
        <v>8.27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8.27</v>
      </c>
      <c r="AV1">
        <v>1</v>
      </c>
      <c r="AW1">
        <v>2</v>
      </c>
      <c r="AX1">
        <v>18916438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ROW(Source!A29)</f>
        <v>29</v>
      </c>
      <c r="B2">
        <v>18916436</v>
      </c>
      <c r="C2">
        <v>18916434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490</v>
      </c>
      <c r="K2" t="s">
        <v>491</v>
      </c>
      <c r="L2">
        <v>1344</v>
      </c>
      <c r="N2">
        <v>1008</v>
      </c>
      <c r="O2" t="s">
        <v>492</v>
      </c>
      <c r="P2" t="s">
        <v>492</v>
      </c>
      <c r="Q2">
        <v>1</v>
      </c>
      <c r="Y2">
        <v>87.32</v>
      </c>
      <c r="AA2">
        <v>0</v>
      </c>
      <c r="AB2">
        <v>1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87.32</v>
      </c>
      <c r="AV2">
        <v>0</v>
      </c>
      <c r="AW2">
        <v>2</v>
      </c>
      <c r="AX2">
        <v>18916439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ROW(Source!A29)</f>
        <v>29</v>
      </c>
      <c r="B3">
        <v>18916437</v>
      </c>
      <c r="C3">
        <v>18916434</v>
      </c>
      <c r="D3">
        <v>7182702</v>
      </c>
      <c r="E3">
        <v>7157832</v>
      </c>
      <c r="F3">
        <v>1</v>
      </c>
      <c r="G3">
        <v>7157832</v>
      </c>
      <c r="H3">
        <v>3</v>
      </c>
      <c r="I3" t="s">
        <v>493</v>
      </c>
      <c r="K3" t="s">
        <v>494</v>
      </c>
      <c r="L3">
        <v>1348</v>
      </c>
      <c r="N3">
        <v>1009</v>
      </c>
      <c r="O3" t="s">
        <v>120</v>
      </c>
      <c r="P3" t="s">
        <v>120</v>
      </c>
      <c r="Q3">
        <v>1000</v>
      </c>
      <c r="Y3">
        <v>2.4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2.4</v>
      </c>
      <c r="AV3">
        <v>0</v>
      </c>
      <c r="AW3">
        <v>2</v>
      </c>
      <c r="AX3">
        <v>18916440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ROW(Source!A30)</f>
        <v>30</v>
      </c>
      <c r="B4">
        <v>18916442</v>
      </c>
      <c r="C4">
        <v>18916441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487</v>
      </c>
      <c r="K4" t="s">
        <v>488</v>
      </c>
      <c r="L4">
        <v>1191</v>
      </c>
      <c r="N4">
        <v>1013</v>
      </c>
      <c r="O4" t="s">
        <v>489</v>
      </c>
      <c r="P4" t="s">
        <v>489</v>
      </c>
      <c r="Q4">
        <v>1</v>
      </c>
      <c r="Y4">
        <v>1.03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1.03</v>
      </c>
      <c r="AV4">
        <v>1</v>
      </c>
      <c r="AW4">
        <v>2</v>
      </c>
      <c r="AX4">
        <v>18916444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ROW(Source!A30)</f>
        <v>30</v>
      </c>
      <c r="B5">
        <v>18916443</v>
      </c>
      <c r="C5">
        <v>18916441</v>
      </c>
      <c r="D5">
        <v>7230811</v>
      </c>
      <c r="E5">
        <v>1</v>
      </c>
      <c r="F5">
        <v>1</v>
      </c>
      <c r="G5">
        <v>7157832</v>
      </c>
      <c r="H5">
        <v>2</v>
      </c>
      <c r="I5" t="s">
        <v>495</v>
      </c>
      <c r="J5" t="s">
        <v>496</v>
      </c>
      <c r="K5" t="s">
        <v>497</v>
      </c>
      <c r="L5">
        <v>1368</v>
      </c>
      <c r="N5">
        <v>1011</v>
      </c>
      <c r="O5" t="s">
        <v>205</v>
      </c>
      <c r="P5" t="s">
        <v>205</v>
      </c>
      <c r="Q5">
        <v>1</v>
      </c>
      <c r="Y5">
        <v>0.5</v>
      </c>
      <c r="AA5">
        <v>0</v>
      </c>
      <c r="AB5">
        <v>102.11</v>
      </c>
      <c r="AC5">
        <v>30.03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0.5</v>
      </c>
      <c r="AV5">
        <v>0</v>
      </c>
      <c r="AW5">
        <v>2</v>
      </c>
      <c r="AX5">
        <v>18916445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ROW(Source!A31)</f>
        <v>31</v>
      </c>
      <c r="B6">
        <v>18916447</v>
      </c>
      <c r="C6">
        <v>18916446</v>
      </c>
      <c r="D6">
        <v>7182703</v>
      </c>
      <c r="E6">
        <v>7157832</v>
      </c>
      <c r="F6">
        <v>1</v>
      </c>
      <c r="G6">
        <v>7157832</v>
      </c>
      <c r="H6">
        <v>3</v>
      </c>
      <c r="I6" t="s">
        <v>493</v>
      </c>
      <c r="K6" t="s">
        <v>498</v>
      </c>
      <c r="L6">
        <v>1348</v>
      </c>
      <c r="N6">
        <v>1009</v>
      </c>
      <c r="O6" t="s">
        <v>120</v>
      </c>
      <c r="P6" t="s">
        <v>120</v>
      </c>
      <c r="Q6">
        <v>1000</v>
      </c>
      <c r="Y6">
        <v>0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0.05</v>
      </c>
      <c r="AU6" t="s">
        <v>25</v>
      </c>
      <c r="AV6">
        <v>0</v>
      </c>
      <c r="AW6">
        <v>2</v>
      </c>
      <c r="AX6">
        <v>18916448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ROW(Source!A58)</f>
        <v>58</v>
      </c>
      <c r="B7">
        <v>18916455</v>
      </c>
      <c r="C7">
        <v>18916454</v>
      </c>
      <c r="D7">
        <v>7182703</v>
      </c>
      <c r="E7">
        <v>7157832</v>
      </c>
      <c r="F7">
        <v>1</v>
      </c>
      <c r="G7">
        <v>7157832</v>
      </c>
      <c r="H7">
        <v>3</v>
      </c>
      <c r="I7" t="s">
        <v>493</v>
      </c>
      <c r="K7" t="s">
        <v>498</v>
      </c>
      <c r="L7">
        <v>1348</v>
      </c>
      <c r="N7">
        <v>1009</v>
      </c>
      <c r="O7" t="s">
        <v>120</v>
      </c>
      <c r="P7" t="s">
        <v>120</v>
      </c>
      <c r="Q7">
        <v>1000</v>
      </c>
      <c r="Y7">
        <v>0.119</v>
      </c>
      <c r="AA7">
        <v>0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0.119</v>
      </c>
      <c r="AV7">
        <v>0</v>
      </c>
      <c r="AW7">
        <v>2</v>
      </c>
      <c r="AX7">
        <v>18916456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ROW(Source!A59)</f>
        <v>59</v>
      </c>
      <c r="B8">
        <v>18916458</v>
      </c>
      <c r="C8">
        <v>18916457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487</v>
      </c>
      <c r="K8" t="s">
        <v>488</v>
      </c>
      <c r="L8">
        <v>1191</v>
      </c>
      <c r="N8">
        <v>1013</v>
      </c>
      <c r="O8" t="s">
        <v>489</v>
      </c>
      <c r="P8" t="s">
        <v>489</v>
      </c>
      <c r="Q8">
        <v>1</v>
      </c>
      <c r="Y8">
        <v>3.63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3.63</v>
      </c>
      <c r="AV8">
        <v>1</v>
      </c>
      <c r="AW8">
        <v>2</v>
      </c>
      <c r="AX8">
        <v>18916461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ROW(Source!A59)</f>
        <v>59</v>
      </c>
      <c r="B9">
        <v>18916459</v>
      </c>
      <c r="C9">
        <v>18916457</v>
      </c>
      <c r="D9">
        <v>7159942</v>
      </c>
      <c r="E9">
        <v>7157832</v>
      </c>
      <c r="F9">
        <v>1</v>
      </c>
      <c r="G9">
        <v>7157832</v>
      </c>
      <c r="H9">
        <v>2</v>
      </c>
      <c r="I9" t="s">
        <v>490</v>
      </c>
      <c r="K9" t="s">
        <v>491</v>
      </c>
      <c r="L9">
        <v>1344</v>
      </c>
      <c r="N9">
        <v>1008</v>
      </c>
      <c r="O9" t="s">
        <v>492</v>
      </c>
      <c r="P9" t="s">
        <v>492</v>
      </c>
      <c r="Q9">
        <v>1</v>
      </c>
      <c r="Y9">
        <v>7.72</v>
      </c>
      <c r="AA9">
        <v>0</v>
      </c>
      <c r="AB9">
        <v>1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7.72</v>
      </c>
      <c r="AV9">
        <v>0</v>
      </c>
      <c r="AW9">
        <v>2</v>
      </c>
      <c r="AX9">
        <v>18916462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ROW(Source!A59)</f>
        <v>59</v>
      </c>
      <c r="B10">
        <v>18916460</v>
      </c>
      <c r="C10">
        <v>18916457</v>
      </c>
      <c r="D10">
        <v>7182707</v>
      </c>
      <c r="E10">
        <v>7157832</v>
      </c>
      <c r="F10">
        <v>1</v>
      </c>
      <c r="G10">
        <v>7157832</v>
      </c>
      <c r="H10">
        <v>3</v>
      </c>
      <c r="I10" t="s">
        <v>493</v>
      </c>
      <c r="K10" t="s">
        <v>499</v>
      </c>
      <c r="L10">
        <v>1344</v>
      </c>
      <c r="N10">
        <v>1008</v>
      </c>
      <c r="O10" t="s">
        <v>492</v>
      </c>
      <c r="P10" t="s">
        <v>492</v>
      </c>
      <c r="Q10">
        <v>1</v>
      </c>
      <c r="Y10">
        <v>2.66</v>
      </c>
      <c r="AA10">
        <v>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2.66</v>
      </c>
      <c r="AV10">
        <v>0</v>
      </c>
      <c r="AW10">
        <v>2</v>
      </c>
      <c r="AX10">
        <v>18916464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ROW(Source!A60)</f>
        <v>60</v>
      </c>
      <c r="B11">
        <v>18916466</v>
      </c>
      <c r="C11">
        <v>18916465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487</v>
      </c>
      <c r="K11" t="s">
        <v>488</v>
      </c>
      <c r="L11">
        <v>1191</v>
      </c>
      <c r="N11">
        <v>1013</v>
      </c>
      <c r="O11" t="s">
        <v>489</v>
      </c>
      <c r="P11" t="s">
        <v>489</v>
      </c>
      <c r="Q11">
        <v>1</v>
      </c>
      <c r="Y11">
        <v>4.4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4.4</v>
      </c>
      <c r="AV11">
        <v>1</v>
      </c>
      <c r="AW11">
        <v>2</v>
      </c>
      <c r="AX11">
        <v>18916468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ROW(Source!A60)</f>
        <v>60</v>
      </c>
      <c r="B12">
        <v>18916467</v>
      </c>
      <c r="C12">
        <v>18916465</v>
      </c>
      <c r="D12">
        <v>7159942</v>
      </c>
      <c r="E12">
        <v>7157832</v>
      </c>
      <c r="F12">
        <v>1</v>
      </c>
      <c r="G12">
        <v>7157832</v>
      </c>
      <c r="H12">
        <v>2</v>
      </c>
      <c r="I12" t="s">
        <v>490</v>
      </c>
      <c r="K12" t="s">
        <v>491</v>
      </c>
      <c r="L12">
        <v>1344</v>
      </c>
      <c r="N12">
        <v>1008</v>
      </c>
      <c r="O12" t="s">
        <v>492</v>
      </c>
      <c r="P12" t="s">
        <v>492</v>
      </c>
      <c r="Q12">
        <v>1</v>
      </c>
      <c r="Y12">
        <v>5</v>
      </c>
      <c r="AA12">
        <v>0</v>
      </c>
      <c r="AB12">
        <v>1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5</v>
      </c>
      <c r="AV12">
        <v>0</v>
      </c>
      <c r="AW12">
        <v>2</v>
      </c>
      <c r="AX12">
        <v>18916469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ROW(Source!A75)</f>
        <v>75</v>
      </c>
      <c r="B13">
        <v>18916485</v>
      </c>
      <c r="C13">
        <v>18916484</v>
      </c>
      <c r="D13">
        <v>7182703</v>
      </c>
      <c r="E13">
        <v>7157832</v>
      </c>
      <c r="F13">
        <v>1</v>
      </c>
      <c r="G13">
        <v>7157832</v>
      </c>
      <c r="H13">
        <v>3</v>
      </c>
      <c r="I13" t="s">
        <v>493</v>
      </c>
      <c r="K13" t="s">
        <v>498</v>
      </c>
      <c r="L13">
        <v>1348</v>
      </c>
      <c r="N13">
        <v>1009</v>
      </c>
      <c r="O13" t="s">
        <v>120</v>
      </c>
      <c r="P13" t="s">
        <v>120</v>
      </c>
      <c r="Q13">
        <v>1000</v>
      </c>
      <c r="Y13">
        <v>0.05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0.05</v>
      </c>
      <c r="AV13">
        <v>0</v>
      </c>
      <c r="AW13">
        <v>2</v>
      </c>
      <c r="AX13">
        <v>18916486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ROW(Source!A159)</f>
        <v>159</v>
      </c>
      <c r="B14">
        <v>18916508</v>
      </c>
      <c r="C14">
        <v>18916507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487</v>
      </c>
      <c r="K14" t="s">
        <v>488</v>
      </c>
      <c r="L14">
        <v>1191</v>
      </c>
      <c r="N14">
        <v>1013</v>
      </c>
      <c r="O14" t="s">
        <v>489</v>
      </c>
      <c r="P14" t="s">
        <v>489</v>
      </c>
      <c r="Q14">
        <v>1</v>
      </c>
      <c r="Y14">
        <v>26.45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23</v>
      </c>
      <c r="AU14" t="s">
        <v>294</v>
      </c>
      <c r="AV14">
        <v>1</v>
      </c>
      <c r="AW14">
        <v>2</v>
      </c>
      <c r="AX14">
        <v>18916511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ROW(Source!A159)</f>
        <v>159</v>
      </c>
      <c r="B15">
        <v>18916509</v>
      </c>
      <c r="C15">
        <v>18916507</v>
      </c>
      <c r="D15">
        <v>7231013</v>
      </c>
      <c r="E15">
        <v>1</v>
      </c>
      <c r="F15">
        <v>1</v>
      </c>
      <c r="G15">
        <v>7157832</v>
      </c>
      <c r="H15">
        <v>2</v>
      </c>
      <c r="I15" t="s">
        <v>500</v>
      </c>
      <c r="J15" t="s">
        <v>501</v>
      </c>
      <c r="K15" t="s">
        <v>502</v>
      </c>
      <c r="L15">
        <v>1368</v>
      </c>
      <c r="N15">
        <v>1011</v>
      </c>
      <c r="O15" t="s">
        <v>205</v>
      </c>
      <c r="P15" t="s">
        <v>205</v>
      </c>
      <c r="Q15">
        <v>1</v>
      </c>
      <c r="Y15">
        <v>8.429499999999999</v>
      </c>
      <c r="AA15">
        <v>0</v>
      </c>
      <c r="AB15">
        <v>283.63</v>
      </c>
      <c r="AC15">
        <v>45.16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7.33</v>
      </c>
      <c r="AU15" t="s">
        <v>294</v>
      </c>
      <c r="AV15">
        <v>0</v>
      </c>
      <c r="AW15">
        <v>2</v>
      </c>
      <c r="AX15">
        <v>18916512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ROW(Source!A159)</f>
        <v>159</v>
      </c>
      <c r="B16">
        <v>18916510</v>
      </c>
      <c r="C16">
        <v>18916507</v>
      </c>
      <c r="D16">
        <v>7238349</v>
      </c>
      <c r="E16">
        <v>1</v>
      </c>
      <c r="F16">
        <v>1</v>
      </c>
      <c r="G16">
        <v>7157832</v>
      </c>
      <c r="H16">
        <v>3</v>
      </c>
      <c r="I16" t="s">
        <v>299</v>
      </c>
      <c r="J16" t="s">
        <v>301</v>
      </c>
      <c r="K16" t="s">
        <v>300</v>
      </c>
      <c r="L16">
        <v>1354</v>
      </c>
      <c r="N16">
        <v>1010</v>
      </c>
      <c r="O16" t="s">
        <v>22</v>
      </c>
      <c r="P16" t="s">
        <v>22</v>
      </c>
      <c r="Q16">
        <v>1</v>
      </c>
      <c r="Y16">
        <v>0.9235</v>
      </c>
      <c r="AA16">
        <v>2280.28</v>
      </c>
      <c r="AB16">
        <v>0</v>
      </c>
      <c r="AC16">
        <v>0</v>
      </c>
      <c r="AD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0.9235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ROW(Source!A161)</f>
        <v>161</v>
      </c>
      <c r="B17">
        <v>18916516</v>
      </c>
      <c r="C17">
        <v>18916515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487</v>
      </c>
      <c r="K17" t="s">
        <v>488</v>
      </c>
      <c r="L17">
        <v>1191</v>
      </c>
      <c r="N17">
        <v>1013</v>
      </c>
      <c r="O17" t="s">
        <v>489</v>
      </c>
      <c r="P17" t="s">
        <v>489</v>
      </c>
      <c r="Q17">
        <v>1</v>
      </c>
      <c r="Y17">
        <v>155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155</v>
      </c>
      <c r="AV17">
        <v>1</v>
      </c>
      <c r="AW17">
        <v>2</v>
      </c>
      <c r="AX17">
        <v>18916521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ROW(Source!A161)</f>
        <v>161</v>
      </c>
      <c r="B18">
        <v>18916520</v>
      </c>
      <c r="C18">
        <v>18916515</v>
      </c>
      <c r="D18">
        <v>7159942</v>
      </c>
      <c r="E18">
        <v>7157832</v>
      </c>
      <c r="F18">
        <v>1</v>
      </c>
      <c r="G18">
        <v>7157832</v>
      </c>
      <c r="H18">
        <v>2</v>
      </c>
      <c r="I18" t="s">
        <v>490</v>
      </c>
      <c r="K18" t="s">
        <v>491</v>
      </c>
      <c r="L18">
        <v>1344</v>
      </c>
      <c r="N18">
        <v>1008</v>
      </c>
      <c r="O18" t="s">
        <v>492</v>
      </c>
      <c r="P18" t="s">
        <v>492</v>
      </c>
      <c r="Q18">
        <v>1</v>
      </c>
      <c r="Y18">
        <v>3.72</v>
      </c>
      <c r="AA18">
        <v>0</v>
      </c>
      <c r="AB18">
        <v>1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3.72</v>
      </c>
      <c r="AV18">
        <v>0</v>
      </c>
      <c r="AW18">
        <v>2</v>
      </c>
      <c r="AX18">
        <v>18916525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ROW(Source!A161)</f>
        <v>161</v>
      </c>
      <c r="B19">
        <v>18916517</v>
      </c>
      <c r="C19">
        <v>18916515</v>
      </c>
      <c r="D19">
        <v>7231127</v>
      </c>
      <c r="E19">
        <v>1</v>
      </c>
      <c r="F19">
        <v>1</v>
      </c>
      <c r="G19">
        <v>7157832</v>
      </c>
      <c r="H19">
        <v>2</v>
      </c>
      <c r="I19" t="s">
        <v>503</v>
      </c>
      <c r="J19" t="s">
        <v>504</v>
      </c>
      <c r="K19" t="s">
        <v>505</v>
      </c>
      <c r="L19">
        <v>1368</v>
      </c>
      <c r="N19">
        <v>1011</v>
      </c>
      <c r="O19" t="s">
        <v>205</v>
      </c>
      <c r="P19" t="s">
        <v>205</v>
      </c>
      <c r="Q19">
        <v>1</v>
      </c>
      <c r="Y19">
        <v>37.5</v>
      </c>
      <c r="AA19">
        <v>0</v>
      </c>
      <c r="AB19">
        <v>60.77</v>
      </c>
      <c r="AC19">
        <v>18.48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37.5</v>
      </c>
      <c r="AV19">
        <v>0</v>
      </c>
      <c r="AW19">
        <v>2</v>
      </c>
      <c r="AX19">
        <v>18916522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ROW(Source!A161)</f>
        <v>161</v>
      </c>
      <c r="B20">
        <v>18916518</v>
      </c>
      <c r="C20">
        <v>18916515</v>
      </c>
      <c r="D20">
        <v>7231489</v>
      </c>
      <c r="E20">
        <v>1</v>
      </c>
      <c r="F20">
        <v>1</v>
      </c>
      <c r="G20">
        <v>7157832</v>
      </c>
      <c r="H20">
        <v>2</v>
      </c>
      <c r="I20" t="s">
        <v>506</v>
      </c>
      <c r="J20" t="s">
        <v>507</v>
      </c>
      <c r="K20" t="s">
        <v>508</v>
      </c>
      <c r="L20">
        <v>1368</v>
      </c>
      <c r="N20">
        <v>1011</v>
      </c>
      <c r="O20" t="s">
        <v>205</v>
      </c>
      <c r="P20" t="s">
        <v>205</v>
      </c>
      <c r="Q20">
        <v>1</v>
      </c>
      <c r="Y20">
        <v>75</v>
      </c>
      <c r="AA20">
        <v>0</v>
      </c>
      <c r="AB20">
        <v>3.16</v>
      </c>
      <c r="AC20">
        <v>0.04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75</v>
      </c>
      <c r="AV20">
        <v>0</v>
      </c>
      <c r="AW20">
        <v>2</v>
      </c>
      <c r="AX20">
        <v>18916523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ROW(Source!A161)</f>
        <v>161</v>
      </c>
      <c r="B21">
        <v>18916519</v>
      </c>
      <c r="C21">
        <v>18916515</v>
      </c>
      <c r="D21">
        <v>7231005</v>
      </c>
      <c r="E21">
        <v>1</v>
      </c>
      <c r="F21">
        <v>1</v>
      </c>
      <c r="G21">
        <v>7157832</v>
      </c>
      <c r="H21">
        <v>2</v>
      </c>
      <c r="I21" t="s">
        <v>509</v>
      </c>
      <c r="J21" t="s">
        <v>510</v>
      </c>
      <c r="K21" t="s">
        <v>511</v>
      </c>
      <c r="L21">
        <v>1368</v>
      </c>
      <c r="N21">
        <v>1011</v>
      </c>
      <c r="O21" t="s">
        <v>205</v>
      </c>
      <c r="P21" t="s">
        <v>205</v>
      </c>
      <c r="Q21">
        <v>1</v>
      </c>
      <c r="Y21">
        <v>1.55</v>
      </c>
      <c r="AA21">
        <v>0</v>
      </c>
      <c r="AB21">
        <v>125.13</v>
      </c>
      <c r="AC21">
        <v>24.74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1.55</v>
      </c>
      <c r="AV21">
        <v>0</v>
      </c>
      <c r="AW21">
        <v>2</v>
      </c>
      <c r="AX21">
        <v>18916524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ROW(Source!A162)</f>
        <v>162</v>
      </c>
      <c r="B22">
        <v>18916527</v>
      </c>
      <c r="C22">
        <v>18916526</v>
      </c>
      <c r="D22">
        <v>7157835</v>
      </c>
      <c r="E22">
        <v>7157832</v>
      </c>
      <c r="F22">
        <v>1</v>
      </c>
      <c r="G22">
        <v>7157832</v>
      </c>
      <c r="H22">
        <v>1</v>
      </c>
      <c r="I22" t="s">
        <v>487</v>
      </c>
      <c r="K22" t="s">
        <v>488</v>
      </c>
      <c r="L22">
        <v>1191</v>
      </c>
      <c r="N22">
        <v>1013</v>
      </c>
      <c r="O22" t="s">
        <v>489</v>
      </c>
      <c r="P22" t="s">
        <v>489</v>
      </c>
      <c r="Q22">
        <v>1</v>
      </c>
      <c r="Y22">
        <v>49.5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49.5</v>
      </c>
      <c r="AV22">
        <v>1</v>
      </c>
      <c r="AW22">
        <v>2</v>
      </c>
      <c r="AX22">
        <v>18916531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ROW(Source!A162)</f>
        <v>162</v>
      </c>
      <c r="B23">
        <v>18916530</v>
      </c>
      <c r="C23">
        <v>18916526</v>
      </c>
      <c r="D23">
        <v>7159942</v>
      </c>
      <c r="E23">
        <v>7157832</v>
      </c>
      <c r="F23">
        <v>1</v>
      </c>
      <c r="G23">
        <v>7157832</v>
      </c>
      <c r="H23">
        <v>2</v>
      </c>
      <c r="I23" t="s">
        <v>490</v>
      </c>
      <c r="K23" t="s">
        <v>491</v>
      </c>
      <c r="L23">
        <v>1344</v>
      </c>
      <c r="N23">
        <v>1008</v>
      </c>
      <c r="O23" t="s">
        <v>492</v>
      </c>
      <c r="P23" t="s">
        <v>492</v>
      </c>
      <c r="Q23">
        <v>1</v>
      </c>
      <c r="Y23">
        <v>5.21</v>
      </c>
      <c r="AA23">
        <v>0</v>
      </c>
      <c r="AB23">
        <v>1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5.21</v>
      </c>
      <c r="AV23">
        <v>0</v>
      </c>
      <c r="AW23">
        <v>2</v>
      </c>
      <c r="AX23">
        <v>18916534</v>
      </c>
      <c r="AY23">
        <v>1</v>
      </c>
      <c r="AZ23">
        <v>0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ROW(Source!A162)</f>
        <v>162</v>
      </c>
      <c r="B24">
        <v>18916528</v>
      </c>
      <c r="C24">
        <v>18916526</v>
      </c>
      <c r="D24">
        <v>7230749</v>
      </c>
      <c r="E24">
        <v>1</v>
      </c>
      <c r="F24">
        <v>1</v>
      </c>
      <c r="G24">
        <v>7157832</v>
      </c>
      <c r="H24">
        <v>2</v>
      </c>
      <c r="I24" t="s">
        <v>512</v>
      </c>
      <c r="J24" t="s">
        <v>513</v>
      </c>
      <c r="K24" t="s">
        <v>514</v>
      </c>
      <c r="L24">
        <v>1368</v>
      </c>
      <c r="N24">
        <v>1011</v>
      </c>
      <c r="O24" t="s">
        <v>205</v>
      </c>
      <c r="P24" t="s">
        <v>205</v>
      </c>
      <c r="Q24">
        <v>1</v>
      </c>
      <c r="Y24">
        <v>2.87</v>
      </c>
      <c r="AA24">
        <v>0</v>
      </c>
      <c r="AB24">
        <v>95.06</v>
      </c>
      <c r="AC24">
        <v>22.22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2.87</v>
      </c>
      <c r="AV24">
        <v>0</v>
      </c>
      <c r="AW24">
        <v>2</v>
      </c>
      <c r="AX24">
        <v>18916532</v>
      </c>
      <c r="AY24">
        <v>1</v>
      </c>
      <c r="AZ24">
        <v>0</v>
      </c>
      <c r="BA24">
        <v>25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ROW(Source!A162)</f>
        <v>162</v>
      </c>
      <c r="B25">
        <v>18916529</v>
      </c>
      <c r="C25">
        <v>18916526</v>
      </c>
      <c r="D25">
        <v>7230726</v>
      </c>
      <c r="E25">
        <v>1</v>
      </c>
      <c r="F25">
        <v>1</v>
      </c>
      <c r="G25">
        <v>7157832</v>
      </c>
      <c r="H25">
        <v>2</v>
      </c>
      <c r="I25" t="s">
        <v>515</v>
      </c>
      <c r="J25" t="s">
        <v>516</v>
      </c>
      <c r="K25" t="s">
        <v>517</v>
      </c>
      <c r="L25">
        <v>1368</v>
      </c>
      <c r="N25">
        <v>1011</v>
      </c>
      <c r="O25" t="s">
        <v>205</v>
      </c>
      <c r="P25" t="s">
        <v>205</v>
      </c>
      <c r="Q25">
        <v>1</v>
      </c>
      <c r="Y25">
        <v>7.86</v>
      </c>
      <c r="AA25">
        <v>0</v>
      </c>
      <c r="AB25">
        <v>164.9</v>
      </c>
      <c r="AC25">
        <v>27.47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7.86</v>
      </c>
      <c r="AV25">
        <v>0</v>
      </c>
      <c r="AW25">
        <v>2</v>
      </c>
      <c r="AX25">
        <v>18916533</v>
      </c>
      <c r="AY25">
        <v>1</v>
      </c>
      <c r="AZ25">
        <v>0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ROW(Source!A163)</f>
        <v>163</v>
      </c>
      <c r="B26">
        <v>18916536</v>
      </c>
      <c r="C26">
        <v>18916535</v>
      </c>
      <c r="D26">
        <v>7157835</v>
      </c>
      <c r="E26">
        <v>7157832</v>
      </c>
      <c r="F26">
        <v>1</v>
      </c>
      <c r="G26">
        <v>7157832</v>
      </c>
      <c r="H26">
        <v>1</v>
      </c>
      <c r="I26" t="s">
        <v>487</v>
      </c>
      <c r="K26" t="s">
        <v>488</v>
      </c>
      <c r="L26">
        <v>1191</v>
      </c>
      <c r="N26">
        <v>1013</v>
      </c>
      <c r="O26" t="s">
        <v>489</v>
      </c>
      <c r="P26" t="s">
        <v>489</v>
      </c>
      <c r="Q26">
        <v>1</v>
      </c>
      <c r="Y26">
        <v>221.60499999999996</v>
      </c>
      <c r="AA26">
        <v>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192.7</v>
      </c>
      <c r="AU26" t="s">
        <v>294</v>
      </c>
      <c r="AV26">
        <v>1</v>
      </c>
      <c r="AW26">
        <v>2</v>
      </c>
      <c r="AX26">
        <v>18916537</v>
      </c>
      <c r="AY26">
        <v>1</v>
      </c>
      <c r="AZ26">
        <v>0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ROW(Source!A164)</f>
        <v>164</v>
      </c>
      <c r="B27">
        <v>18916539</v>
      </c>
      <c r="C27">
        <v>18916538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487</v>
      </c>
      <c r="K27" t="s">
        <v>488</v>
      </c>
      <c r="L27">
        <v>1191</v>
      </c>
      <c r="N27">
        <v>1013</v>
      </c>
      <c r="O27" t="s">
        <v>489</v>
      </c>
      <c r="P27" t="s">
        <v>489</v>
      </c>
      <c r="Q27">
        <v>1</v>
      </c>
      <c r="Y27">
        <v>123.096</v>
      </c>
      <c r="AA27">
        <v>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107.04</v>
      </c>
      <c r="AU27" t="s">
        <v>294</v>
      </c>
      <c r="AV27">
        <v>1</v>
      </c>
      <c r="AW27">
        <v>2</v>
      </c>
      <c r="AX27">
        <v>18916540</v>
      </c>
      <c r="AY27">
        <v>1</v>
      </c>
      <c r="AZ27">
        <v>0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ROW(Source!A165)</f>
        <v>165</v>
      </c>
      <c r="B28">
        <v>18916542</v>
      </c>
      <c r="C28">
        <v>18916541</v>
      </c>
      <c r="D28">
        <v>7157835</v>
      </c>
      <c r="E28">
        <v>7157832</v>
      </c>
      <c r="F28">
        <v>1</v>
      </c>
      <c r="G28">
        <v>7157832</v>
      </c>
      <c r="H28">
        <v>1</v>
      </c>
      <c r="I28" t="s">
        <v>487</v>
      </c>
      <c r="K28" t="s">
        <v>488</v>
      </c>
      <c r="L28">
        <v>1191</v>
      </c>
      <c r="N28">
        <v>1013</v>
      </c>
      <c r="O28" t="s">
        <v>489</v>
      </c>
      <c r="P28" t="s">
        <v>489</v>
      </c>
      <c r="Q28">
        <v>1</v>
      </c>
      <c r="Y28">
        <v>83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83</v>
      </c>
      <c r="AV28">
        <v>1</v>
      </c>
      <c r="AW28">
        <v>2</v>
      </c>
      <c r="AX28">
        <v>18916543</v>
      </c>
      <c r="AY28">
        <v>1</v>
      </c>
      <c r="AZ28">
        <v>0</v>
      </c>
      <c r="BA28">
        <v>29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ROW(Source!A168)</f>
        <v>168</v>
      </c>
      <c r="B29">
        <v>18916547</v>
      </c>
      <c r="C29">
        <v>18916546</v>
      </c>
      <c r="D29">
        <v>7159942</v>
      </c>
      <c r="E29">
        <v>7157832</v>
      </c>
      <c r="F29">
        <v>1</v>
      </c>
      <c r="G29">
        <v>7157832</v>
      </c>
      <c r="H29">
        <v>2</v>
      </c>
      <c r="I29" t="s">
        <v>490</v>
      </c>
      <c r="K29" t="s">
        <v>491</v>
      </c>
      <c r="L29">
        <v>1344</v>
      </c>
      <c r="N29">
        <v>1008</v>
      </c>
      <c r="O29" t="s">
        <v>492</v>
      </c>
      <c r="P29" t="s">
        <v>492</v>
      </c>
      <c r="Q29">
        <v>1</v>
      </c>
      <c r="Y29">
        <v>8.86</v>
      </c>
      <c r="AA29">
        <v>0</v>
      </c>
      <c r="AB29">
        <v>1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8.86</v>
      </c>
      <c r="AV29">
        <v>0</v>
      </c>
      <c r="AW29">
        <v>2</v>
      </c>
      <c r="AX29">
        <v>18916548</v>
      </c>
      <c r="AY29">
        <v>1</v>
      </c>
      <c r="AZ29">
        <v>0</v>
      </c>
      <c r="BA29">
        <v>30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ROW(Source!A171)</f>
        <v>171</v>
      </c>
      <c r="B30">
        <v>18916552</v>
      </c>
      <c r="C30">
        <v>18916551</v>
      </c>
      <c r="D30">
        <v>7157835</v>
      </c>
      <c r="E30">
        <v>7157832</v>
      </c>
      <c r="F30">
        <v>1</v>
      </c>
      <c r="G30">
        <v>7157832</v>
      </c>
      <c r="H30">
        <v>1</v>
      </c>
      <c r="I30" t="s">
        <v>487</v>
      </c>
      <c r="K30" t="s">
        <v>488</v>
      </c>
      <c r="L30">
        <v>1191</v>
      </c>
      <c r="N30">
        <v>1013</v>
      </c>
      <c r="O30" t="s">
        <v>489</v>
      </c>
      <c r="P30" t="s">
        <v>489</v>
      </c>
      <c r="Q30">
        <v>1</v>
      </c>
      <c r="Y30">
        <v>16.56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14.4</v>
      </c>
      <c r="AU30" t="s">
        <v>294</v>
      </c>
      <c r="AV30">
        <v>1</v>
      </c>
      <c r="AW30">
        <v>2</v>
      </c>
      <c r="AX30">
        <v>18916560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ROW(Source!A171)</f>
        <v>171</v>
      </c>
      <c r="B31">
        <v>18916553</v>
      </c>
      <c r="C31">
        <v>18916551</v>
      </c>
      <c r="D31">
        <v>7230769</v>
      </c>
      <c r="E31">
        <v>1</v>
      </c>
      <c r="F31">
        <v>1</v>
      </c>
      <c r="G31">
        <v>7157832</v>
      </c>
      <c r="H31">
        <v>2</v>
      </c>
      <c r="I31" t="s">
        <v>518</v>
      </c>
      <c r="J31" t="s">
        <v>519</v>
      </c>
      <c r="K31" t="s">
        <v>520</v>
      </c>
      <c r="L31">
        <v>1368</v>
      </c>
      <c r="N31">
        <v>1011</v>
      </c>
      <c r="O31" t="s">
        <v>205</v>
      </c>
      <c r="P31" t="s">
        <v>205</v>
      </c>
      <c r="Q31">
        <v>1</v>
      </c>
      <c r="Y31">
        <v>1.9089999999999998</v>
      </c>
      <c r="AA31">
        <v>0</v>
      </c>
      <c r="AB31">
        <v>116.89</v>
      </c>
      <c r="AC31">
        <v>23.41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1.66</v>
      </c>
      <c r="AU31" t="s">
        <v>294</v>
      </c>
      <c r="AV31">
        <v>0</v>
      </c>
      <c r="AW31">
        <v>2</v>
      </c>
      <c r="AX31">
        <v>18916561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ROW(Source!A171)</f>
        <v>171</v>
      </c>
      <c r="B32">
        <v>18916554</v>
      </c>
      <c r="C32">
        <v>18916551</v>
      </c>
      <c r="D32">
        <v>7230974</v>
      </c>
      <c r="E32">
        <v>1</v>
      </c>
      <c r="F32">
        <v>1</v>
      </c>
      <c r="G32">
        <v>7157832</v>
      </c>
      <c r="H32">
        <v>2</v>
      </c>
      <c r="I32" t="s">
        <v>521</v>
      </c>
      <c r="J32" t="s">
        <v>522</v>
      </c>
      <c r="K32" t="s">
        <v>523</v>
      </c>
      <c r="L32">
        <v>1368</v>
      </c>
      <c r="N32">
        <v>1011</v>
      </c>
      <c r="O32" t="s">
        <v>205</v>
      </c>
      <c r="P32" t="s">
        <v>205</v>
      </c>
      <c r="Q32">
        <v>1</v>
      </c>
      <c r="Y32">
        <v>1.9089999999999998</v>
      </c>
      <c r="AA32">
        <v>0</v>
      </c>
      <c r="AB32">
        <v>62.97</v>
      </c>
      <c r="AC32">
        <v>6.64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1.66</v>
      </c>
      <c r="AU32" t="s">
        <v>294</v>
      </c>
      <c r="AV32">
        <v>0</v>
      </c>
      <c r="AW32">
        <v>2</v>
      </c>
      <c r="AX32">
        <v>18916562</v>
      </c>
      <c r="AY32">
        <v>1</v>
      </c>
      <c r="AZ32">
        <v>0</v>
      </c>
      <c r="BA32">
        <v>33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ROW(Source!A171)</f>
        <v>171</v>
      </c>
      <c r="B33">
        <v>18916555</v>
      </c>
      <c r="C33">
        <v>18916551</v>
      </c>
      <c r="D33">
        <v>7230977</v>
      </c>
      <c r="E33">
        <v>1</v>
      </c>
      <c r="F33">
        <v>1</v>
      </c>
      <c r="G33">
        <v>7157832</v>
      </c>
      <c r="H33">
        <v>2</v>
      </c>
      <c r="I33" t="s">
        <v>524</v>
      </c>
      <c r="J33" t="s">
        <v>525</v>
      </c>
      <c r="K33" t="s">
        <v>526</v>
      </c>
      <c r="L33">
        <v>1368</v>
      </c>
      <c r="N33">
        <v>1011</v>
      </c>
      <c r="O33" t="s">
        <v>205</v>
      </c>
      <c r="P33" t="s">
        <v>205</v>
      </c>
      <c r="Q33">
        <v>1</v>
      </c>
      <c r="Y33">
        <v>0.7474999999999999</v>
      </c>
      <c r="AA33">
        <v>0</v>
      </c>
      <c r="AB33">
        <v>140.58</v>
      </c>
      <c r="AC33">
        <v>28.61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0.65</v>
      </c>
      <c r="AU33" t="s">
        <v>294</v>
      </c>
      <c r="AV33">
        <v>0</v>
      </c>
      <c r="AW33">
        <v>2</v>
      </c>
      <c r="AX33">
        <v>18916563</v>
      </c>
      <c r="AY33">
        <v>1</v>
      </c>
      <c r="AZ33">
        <v>0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ROW(Source!A171)</f>
        <v>171</v>
      </c>
      <c r="B34">
        <v>18916556</v>
      </c>
      <c r="C34">
        <v>18916551</v>
      </c>
      <c r="D34">
        <v>7231005</v>
      </c>
      <c r="E34">
        <v>1</v>
      </c>
      <c r="F34">
        <v>1</v>
      </c>
      <c r="G34">
        <v>7157832</v>
      </c>
      <c r="H34">
        <v>2</v>
      </c>
      <c r="I34" t="s">
        <v>509</v>
      </c>
      <c r="J34" t="s">
        <v>510</v>
      </c>
      <c r="K34" t="s">
        <v>511</v>
      </c>
      <c r="L34">
        <v>1368</v>
      </c>
      <c r="N34">
        <v>1011</v>
      </c>
      <c r="O34" t="s">
        <v>205</v>
      </c>
      <c r="P34" t="s">
        <v>205</v>
      </c>
      <c r="Q34">
        <v>1</v>
      </c>
      <c r="Y34">
        <v>1.7825</v>
      </c>
      <c r="AA34">
        <v>0</v>
      </c>
      <c r="AB34">
        <v>125.13</v>
      </c>
      <c r="AC34">
        <v>24.74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1.55</v>
      </c>
      <c r="AU34" t="s">
        <v>294</v>
      </c>
      <c r="AV34">
        <v>0</v>
      </c>
      <c r="AW34">
        <v>2</v>
      </c>
      <c r="AX34">
        <v>18916564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ROW(Source!A171)</f>
        <v>171</v>
      </c>
      <c r="B35">
        <v>18916557</v>
      </c>
      <c r="C35">
        <v>18916551</v>
      </c>
      <c r="D35">
        <v>7230967</v>
      </c>
      <c r="E35">
        <v>1</v>
      </c>
      <c r="F35">
        <v>1</v>
      </c>
      <c r="G35">
        <v>7157832</v>
      </c>
      <c r="H35">
        <v>2</v>
      </c>
      <c r="I35" t="s">
        <v>527</v>
      </c>
      <c r="J35" t="s">
        <v>528</v>
      </c>
      <c r="K35" t="s">
        <v>529</v>
      </c>
      <c r="L35">
        <v>1368</v>
      </c>
      <c r="N35">
        <v>1011</v>
      </c>
      <c r="O35" t="s">
        <v>205</v>
      </c>
      <c r="P35" t="s">
        <v>205</v>
      </c>
      <c r="Q35">
        <v>1</v>
      </c>
      <c r="Y35">
        <v>0.598</v>
      </c>
      <c r="AA35">
        <v>0</v>
      </c>
      <c r="AB35">
        <v>178.02</v>
      </c>
      <c r="AC35">
        <v>23.5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0.52</v>
      </c>
      <c r="AU35" t="s">
        <v>294</v>
      </c>
      <c r="AV35">
        <v>0</v>
      </c>
      <c r="AW35">
        <v>2</v>
      </c>
      <c r="AX35">
        <v>18916565</v>
      </c>
      <c r="AY35">
        <v>1</v>
      </c>
      <c r="AZ35">
        <v>0</v>
      </c>
      <c r="BA35">
        <v>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ROW(Source!A171)</f>
        <v>171</v>
      </c>
      <c r="B36">
        <v>18916558</v>
      </c>
      <c r="C36">
        <v>18916551</v>
      </c>
      <c r="D36">
        <v>7231827</v>
      </c>
      <c r="E36">
        <v>1</v>
      </c>
      <c r="F36">
        <v>1</v>
      </c>
      <c r="G36">
        <v>7157832</v>
      </c>
      <c r="H36">
        <v>3</v>
      </c>
      <c r="I36" t="s">
        <v>530</v>
      </c>
      <c r="J36" t="s">
        <v>531</v>
      </c>
      <c r="K36" t="s">
        <v>532</v>
      </c>
      <c r="L36">
        <v>1339</v>
      </c>
      <c r="N36">
        <v>1007</v>
      </c>
      <c r="O36" t="s">
        <v>34</v>
      </c>
      <c r="P36" t="s">
        <v>34</v>
      </c>
      <c r="Q36">
        <v>1</v>
      </c>
      <c r="Y36">
        <v>5</v>
      </c>
      <c r="AA36">
        <v>7.07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5</v>
      </c>
      <c r="AV36">
        <v>0</v>
      </c>
      <c r="AW36">
        <v>2</v>
      </c>
      <c r="AX36">
        <v>18916566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ROW(Source!A171)</f>
        <v>171</v>
      </c>
      <c r="B37">
        <v>18916559</v>
      </c>
      <c r="C37">
        <v>18916551</v>
      </c>
      <c r="D37">
        <v>7232457</v>
      </c>
      <c r="E37">
        <v>1</v>
      </c>
      <c r="F37">
        <v>1</v>
      </c>
      <c r="G37">
        <v>7157832</v>
      </c>
      <c r="H37">
        <v>3</v>
      </c>
      <c r="I37" t="s">
        <v>367</v>
      </c>
      <c r="J37" t="s">
        <v>369</v>
      </c>
      <c r="K37" t="s">
        <v>368</v>
      </c>
      <c r="L37">
        <v>1339</v>
      </c>
      <c r="N37">
        <v>1007</v>
      </c>
      <c r="O37" t="s">
        <v>34</v>
      </c>
      <c r="P37" t="s">
        <v>34</v>
      </c>
      <c r="Q37">
        <v>1</v>
      </c>
      <c r="Y37">
        <v>158</v>
      </c>
      <c r="AA37">
        <v>104.99</v>
      </c>
      <c r="AB37">
        <v>0</v>
      </c>
      <c r="AC37">
        <v>0</v>
      </c>
      <c r="AD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T37">
        <v>158</v>
      </c>
      <c r="AV37">
        <v>0</v>
      </c>
      <c r="AW37">
        <v>1</v>
      </c>
      <c r="AX37">
        <v>-1</v>
      </c>
      <c r="AY37">
        <v>0</v>
      </c>
      <c r="AZ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ROW(Source!A173)</f>
        <v>173</v>
      </c>
      <c r="B38">
        <v>18916570</v>
      </c>
      <c r="C38">
        <v>18916569</v>
      </c>
      <c r="D38">
        <v>7157835</v>
      </c>
      <c r="E38">
        <v>7157832</v>
      </c>
      <c r="F38">
        <v>1</v>
      </c>
      <c r="G38">
        <v>7157832</v>
      </c>
      <c r="H38">
        <v>1</v>
      </c>
      <c r="I38" t="s">
        <v>487</v>
      </c>
      <c r="K38" t="s">
        <v>488</v>
      </c>
      <c r="L38">
        <v>1191</v>
      </c>
      <c r="N38">
        <v>1013</v>
      </c>
      <c r="O38" t="s">
        <v>489</v>
      </c>
      <c r="P38" t="s">
        <v>489</v>
      </c>
      <c r="Q38">
        <v>1</v>
      </c>
      <c r="Y38">
        <v>307.04999999999995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267</v>
      </c>
      <c r="AU38" t="s">
        <v>294</v>
      </c>
      <c r="AV38">
        <v>1</v>
      </c>
      <c r="AW38">
        <v>2</v>
      </c>
      <c r="AX38">
        <v>18916580</v>
      </c>
      <c r="AY38">
        <v>1</v>
      </c>
      <c r="AZ38">
        <v>0</v>
      </c>
      <c r="BA38">
        <v>39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ROW(Source!A173)</f>
        <v>173</v>
      </c>
      <c r="B39">
        <v>18916573</v>
      </c>
      <c r="C39">
        <v>18916569</v>
      </c>
      <c r="D39">
        <v>7159942</v>
      </c>
      <c r="E39">
        <v>7157832</v>
      </c>
      <c r="F39">
        <v>1</v>
      </c>
      <c r="G39">
        <v>7157832</v>
      </c>
      <c r="H39">
        <v>2</v>
      </c>
      <c r="I39" t="s">
        <v>490</v>
      </c>
      <c r="K39" t="s">
        <v>491</v>
      </c>
      <c r="L39">
        <v>1344</v>
      </c>
      <c r="N39">
        <v>1008</v>
      </c>
      <c r="O39" t="s">
        <v>492</v>
      </c>
      <c r="P39" t="s">
        <v>492</v>
      </c>
      <c r="Q39">
        <v>1</v>
      </c>
      <c r="Y39">
        <v>5.485499999999999</v>
      </c>
      <c r="AA39">
        <v>0</v>
      </c>
      <c r="AB39">
        <v>1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4.77</v>
      </c>
      <c r="AU39" t="s">
        <v>294</v>
      </c>
      <c r="AV39">
        <v>0</v>
      </c>
      <c r="AW39">
        <v>2</v>
      </c>
      <c r="AX39">
        <v>18916583</v>
      </c>
      <c r="AY39">
        <v>1</v>
      </c>
      <c r="AZ39">
        <v>0</v>
      </c>
      <c r="BA39">
        <v>40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ROW(Source!A173)</f>
        <v>173</v>
      </c>
      <c r="B40">
        <v>18916571</v>
      </c>
      <c r="C40">
        <v>18916569</v>
      </c>
      <c r="D40">
        <v>7230977</v>
      </c>
      <c r="E40">
        <v>1</v>
      </c>
      <c r="F40">
        <v>1</v>
      </c>
      <c r="G40">
        <v>7157832</v>
      </c>
      <c r="H40">
        <v>2</v>
      </c>
      <c r="I40" t="s">
        <v>524</v>
      </c>
      <c r="J40" t="s">
        <v>525</v>
      </c>
      <c r="K40" t="s">
        <v>526</v>
      </c>
      <c r="L40">
        <v>1368</v>
      </c>
      <c r="N40">
        <v>1011</v>
      </c>
      <c r="O40" t="s">
        <v>205</v>
      </c>
      <c r="P40" t="s">
        <v>205</v>
      </c>
      <c r="Q40">
        <v>1</v>
      </c>
      <c r="Y40">
        <v>13.524</v>
      </c>
      <c r="AA40">
        <v>0</v>
      </c>
      <c r="AB40">
        <v>140.58</v>
      </c>
      <c r="AC40">
        <v>28.61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11.76</v>
      </c>
      <c r="AU40" t="s">
        <v>294</v>
      </c>
      <c r="AV40">
        <v>0</v>
      </c>
      <c r="AW40">
        <v>2</v>
      </c>
      <c r="AX40">
        <v>18916581</v>
      </c>
      <c r="AY40">
        <v>1</v>
      </c>
      <c r="AZ40">
        <v>0</v>
      </c>
      <c r="BA40">
        <v>41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ROW(Source!A173)</f>
        <v>173</v>
      </c>
      <c r="B41">
        <v>18916572</v>
      </c>
      <c r="C41">
        <v>18916569</v>
      </c>
      <c r="D41">
        <v>7231016</v>
      </c>
      <c r="E41">
        <v>1</v>
      </c>
      <c r="F41">
        <v>1</v>
      </c>
      <c r="G41">
        <v>7157832</v>
      </c>
      <c r="H41">
        <v>2</v>
      </c>
      <c r="I41" t="s">
        <v>533</v>
      </c>
      <c r="J41" t="s">
        <v>534</v>
      </c>
      <c r="K41" t="s">
        <v>535</v>
      </c>
      <c r="L41">
        <v>1368</v>
      </c>
      <c r="N41">
        <v>1011</v>
      </c>
      <c r="O41" t="s">
        <v>205</v>
      </c>
      <c r="P41" t="s">
        <v>205</v>
      </c>
      <c r="Q41">
        <v>1</v>
      </c>
      <c r="Y41">
        <v>12.42</v>
      </c>
      <c r="AA41">
        <v>0</v>
      </c>
      <c r="AB41">
        <v>25.58</v>
      </c>
      <c r="AC41">
        <v>1.85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10.8</v>
      </c>
      <c r="AU41" t="s">
        <v>294</v>
      </c>
      <c r="AV41">
        <v>0</v>
      </c>
      <c r="AW41">
        <v>2</v>
      </c>
      <c r="AX41">
        <v>18916582</v>
      </c>
      <c r="AY41">
        <v>1</v>
      </c>
      <c r="AZ41">
        <v>0</v>
      </c>
      <c r="BA41">
        <v>42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ROW(Source!A173)</f>
        <v>173</v>
      </c>
      <c r="B42">
        <v>18916578</v>
      </c>
      <c r="C42">
        <v>18916569</v>
      </c>
      <c r="D42">
        <v>7182707</v>
      </c>
      <c r="E42">
        <v>7157832</v>
      </c>
      <c r="F42">
        <v>1</v>
      </c>
      <c r="G42">
        <v>7157832</v>
      </c>
      <c r="H42">
        <v>3</v>
      </c>
      <c r="I42" t="s">
        <v>493</v>
      </c>
      <c r="K42" t="s">
        <v>499</v>
      </c>
      <c r="L42">
        <v>1344</v>
      </c>
      <c r="N42">
        <v>1008</v>
      </c>
      <c r="O42" t="s">
        <v>492</v>
      </c>
      <c r="P42" t="s">
        <v>492</v>
      </c>
      <c r="Q42">
        <v>1</v>
      </c>
      <c r="Y42">
        <v>49.28</v>
      </c>
      <c r="AA42">
        <v>1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49.28</v>
      </c>
      <c r="AV42">
        <v>0</v>
      </c>
      <c r="AW42">
        <v>2</v>
      </c>
      <c r="AX42">
        <v>18916589</v>
      </c>
      <c r="AY42">
        <v>1</v>
      </c>
      <c r="AZ42">
        <v>0</v>
      </c>
      <c r="BA42">
        <v>43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ROW(Source!A173)</f>
        <v>173</v>
      </c>
      <c r="B43">
        <v>18916574</v>
      </c>
      <c r="C43">
        <v>18916569</v>
      </c>
      <c r="D43">
        <v>7231827</v>
      </c>
      <c r="E43">
        <v>1</v>
      </c>
      <c r="F43">
        <v>1</v>
      </c>
      <c r="G43">
        <v>7157832</v>
      </c>
      <c r="H43">
        <v>3</v>
      </c>
      <c r="I43" t="s">
        <v>530</v>
      </c>
      <c r="J43" t="s">
        <v>531</v>
      </c>
      <c r="K43" t="s">
        <v>532</v>
      </c>
      <c r="L43">
        <v>1339</v>
      </c>
      <c r="N43">
        <v>1007</v>
      </c>
      <c r="O43" t="s">
        <v>34</v>
      </c>
      <c r="P43" t="s">
        <v>34</v>
      </c>
      <c r="Q43">
        <v>1</v>
      </c>
      <c r="Y43">
        <v>178</v>
      </c>
      <c r="AA43">
        <v>7.07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178</v>
      </c>
      <c r="AV43">
        <v>0</v>
      </c>
      <c r="AW43">
        <v>2</v>
      </c>
      <c r="AX43">
        <v>18916584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ROW(Source!A173)</f>
        <v>173</v>
      </c>
      <c r="B44">
        <v>18916575</v>
      </c>
      <c r="C44">
        <v>18916569</v>
      </c>
      <c r="D44">
        <v>7231756</v>
      </c>
      <c r="E44">
        <v>1</v>
      </c>
      <c r="F44">
        <v>1</v>
      </c>
      <c r="G44">
        <v>7157832</v>
      </c>
      <c r="H44">
        <v>3</v>
      </c>
      <c r="I44" t="s">
        <v>536</v>
      </c>
      <c r="J44" t="s">
        <v>537</v>
      </c>
      <c r="K44" t="s">
        <v>538</v>
      </c>
      <c r="L44">
        <v>1348</v>
      </c>
      <c r="N44">
        <v>1009</v>
      </c>
      <c r="O44" t="s">
        <v>120</v>
      </c>
      <c r="P44" t="s">
        <v>120</v>
      </c>
      <c r="Q44">
        <v>1000</v>
      </c>
      <c r="Y44">
        <v>0.09</v>
      </c>
      <c r="AA44">
        <v>3386.07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0.09</v>
      </c>
      <c r="AV44">
        <v>0</v>
      </c>
      <c r="AW44">
        <v>2</v>
      </c>
      <c r="AX44">
        <v>18916585</v>
      </c>
      <c r="AY44">
        <v>1</v>
      </c>
      <c r="AZ44">
        <v>0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ROW(Source!A173)</f>
        <v>173</v>
      </c>
      <c r="B45">
        <v>18916576</v>
      </c>
      <c r="C45">
        <v>18916569</v>
      </c>
      <c r="D45">
        <v>7232456</v>
      </c>
      <c r="E45">
        <v>1</v>
      </c>
      <c r="F45">
        <v>1</v>
      </c>
      <c r="G45">
        <v>7157832</v>
      </c>
      <c r="H45">
        <v>3</v>
      </c>
      <c r="I45" t="s">
        <v>539</v>
      </c>
      <c r="J45" t="s">
        <v>540</v>
      </c>
      <c r="K45" t="s">
        <v>541</v>
      </c>
      <c r="L45">
        <v>1339</v>
      </c>
      <c r="N45">
        <v>1007</v>
      </c>
      <c r="O45" t="s">
        <v>34</v>
      </c>
      <c r="P45" t="s">
        <v>34</v>
      </c>
      <c r="Q45">
        <v>1</v>
      </c>
      <c r="Y45">
        <v>40</v>
      </c>
      <c r="AA45">
        <v>104.99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40</v>
      </c>
      <c r="AV45">
        <v>0</v>
      </c>
      <c r="AW45">
        <v>2</v>
      </c>
      <c r="AX45">
        <v>18916586</v>
      </c>
      <c r="AY45">
        <v>1</v>
      </c>
      <c r="AZ45">
        <v>0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ROW(Source!A173)</f>
        <v>173</v>
      </c>
      <c r="B46">
        <v>18916579</v>
      </c>
      <c r="C46">
        <v>18916569</v>
      </c>
      <c r="D46">
        <v>7234872</v>
      </c>
      <c r="E46">
        <v>1</v>
      </c>
      <c r="F46">
        <v>1</v>
      </c>
      <c r="G46">
        <v>7157832</v>
      </c>
      <c r="H46">
        <v>3</v>
      </c>
      <c r="I46" t="s">
        <v>378</v>
      </c>
      <c r="J46" t="s">
        <v>380</v>
      </c>
      <c r="K46" t="s">
        <v>379</v>
      </c>
      <c r="L46">
        <v>1339</v>
      </c>
      <c r="N46">
        <v>1007</v>
      </c>
      <c r="O46" t="s">
        <v>34</v>
      </c>
      <c r="P46" t="s">
        <v>34</v>
      </c>
      <c r="Q46">
        <v>1</v>
      </c>
      <c r="Y46">
        <v>162</v>
      </c>
      <c r="AA46">
        <v>517.14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162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ROW(Source!A173)</f>
        <v>173</v>
      </c>
      <c r="B47">
        <v>18916577</v>
      </c>
      <c r="C47">
        <v>18916569</v>
      </c>
      <c r="D47">
        <v>7239912</v>
      </c>
      <c r="E47">
        <v>1</v>
      </c>
      <c r="F47">
        <v>1</v>
      </c>
      <c r="G47">
        <v>7157832</v>
      </c>
      <c r="H47">
        <v>3</v>
      </c>
      <c r="I47" t="s">
        <v>542</v>
      </c>
      <c r="J47" t="s">
        <v>543</v>
      </c>
      <c r="K47" t="s">
        <v>544</v>
      </c>
      <c r="L47">
        <v>1327</v>
      </c>
      <c r="N47">
        <v>1005</v>
      </c>
      <c r="O47" t="s">
        <v>545</v>
      </c>
      <c r="P47" t="s">
        <v>545</v>
      </c>
      <c r="Q47">
        <v>1</v>
      </c>
      <c r="Y47">
        <v>10.2</v>
      </c>
      <c r="AA47">
        <v>90.15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10.2</v>
      </c>
      <c r="AV47">
        <v>0</v>
      </c>
      <c r="AW47">
        <v>2</v>
      </c>
      <c r="AX47">
        <v>18916587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ROW(Source!A175)</f>
        <v>175</v>
      </c>
      <c r="B48">
        <v>18916592</v>
      </c>
      <c r="C48">
        <v>18916591</v>
      </c>
      <c r="D48">
        <v>7157835</v>
      </c>
      <c r="E48">
        <v>7157832</v>
      </c>
      <c r="F48">
        <v>1</v>
      </c>
      <c r="G48">
        <v>7157832</v>
      </c>
      <c r="H48">
        <v>1</v>
      </c>
      <c r="I48" t="s">
        <v>487</v>
      </c>
      <c r="K48" t="s">
        <v>488</v>
      </c>
      <c r="L48">
        <v>1191</v>
      </c>
      <c r="N48">
        <v>1013</v>
      </c>
      <c r="O48" t="s">
        <v>489</v>
      </c>
      <c r="P48" t="s">
        <v>489</v>
      </c>
      <c r="Q48">
        <v>1</v>
      </c>
      <c r="Y48">
        <v>23.781999999999996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5.17</v>
      </c>
      <c r="AU48" t="s">
        <v>386</v>
      </c>
      <c r="AV48">
        <v>1</v>
      </c>
      <c r="AW48">
        <v>2</v>
      </c>
      <c r="AX48">
        <v>18916595</v>
      </c>
      <c r="AY48">
        <v>1</v>
      </c>
      <c r="AZ48">
        <v>0</v>
      </c>
      <c r="BA48">
        <v>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ROW(Source!A175)</f>
        <v>175</v>
      </c>
      <c r="B49">
        <v>18916594</v>
      </c>
      <c r="C49">
        <v>18916591</v>
      </c>
      <c r="D49">
        <v>7234872</v>
      </c>
      <c r="E49">
        <v>1</v>
      </c>
      <c r="F49">
        <v>1</v>
      </c>
      <c r="G49">
        <v>7157832</v>
      </c>
      <c r="H49">
        <v>3</v>
      </c>
      <c r="I49" t="s">
        <v>378</v>
      </c>
      <c r="J49" t="s">
        <v>380</v>
      </c>
      <c r="K49" t="s">
        <v>379</v>
      </c>
      <c r="L49">
        <v>1339</v>
      </c>
      <c r="N49">
        <v>1007</v>
      </c>
      <c r="O49" t="s">
        <v>34</v>
      </c>
      <c r="P49" t="s">
        <v>34</v>
      </c>
      <c r="Q49">
        <v>1</v>
      </c>
      <c r="Y49">
        <v>10.2</v>
      </c>
      <c r="AA49">
        <v>517.14</v>
      </c>
      <c r="AB49">
        <v>0</v>
      </c>
      <c r="AC49">
        <v>0</v>
      </c>
      <c r="AD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10.2</v>
      </c>
      <c r="AV49">
        <v>0</v>
      </c>
      <c r="AW49">
        <v>1</v>
      </c>
      <c r="AX49">
        <v>-1</v>
      </c>
      <c r="AY49">
        <v>0</v>
      </c>
      <c r="AZ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ROW(Source!A175)</f>
        <v>175</v>
      </c>
      <c r="B50">
        <v>18916593</v>
      </c>
      <c r="C50">
        <v>18916591</v>
      </c>
      <c r="D50">
        <v>7239912</v>
      </c>
      <c r="E50">
        <v>1</v>
      </c>
      <c r="F50">
        <v>1</v>
      </c>
      <c r="G50">
        <v>7157832</v>
      </c>
      <c r="H50">
        <v>3</v>
      </c>
      <c r="I50" t="s">
        <v>542</v>
      </c>
      <c r="J50" t="s">
        <v>543</v>
      </c>
      <c r="K50" t="s">
        <v>544</v>
      </c>
      <c r="L50">
        <v>1327</v>
      </c>
      <c r="N50">
        <v>1005</v>
      </c>
      <c r="O50" t="s">
        <v>545</v>
      </c>
      <c r="P50" t="s">
        <v>545</v>
      </c>
      <c r="Q50">
        <v>1</v>
      </c>
      <c r="Y50">
        <v>0.65</v>
      </c>
      <c r="AA50">
        <v>90.15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0.65</v>
      </c>
      <c r="AV50">
        <v>0</v>
      </c>
      <c r="AW50">
        <v>2</v>
      </c>
      <c r="AX50">
        <v>18916596</v>
      </c>
      <c r="AY50">
        <v>2</v>
      </c>
      <c r="AZ50">
        <v>4096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ROW(Source!A177)</f>
        <v>177</v>
      </c>
      <c r="B51">
        <v>18916600</v>
      </c>
      <c r="C51">
        <v>18916599</v>
      </c>
      <c r="D51">
        <v>7157835</v>
      </c>
      <c r="E51">
        <v>7157832</v>
      </c>
      <c r="F51">
        <v>1</v>
      </c>
      <c r="G51">
        <v>7157832</v>
      </c>
      <c r="H51">
        <v>1</v>
      </c>
      <c r="I51" t="s">
        <v>487</v>
      </c>
      <c r="K51" t="s">
        <v>488</v>
      </c>
      <c r="L51">
        <v>1191</v>
      </c>
      <c r="N51">
        <v>1013</v>
      </c>
      <c r="O51" t="s">
        <v>489</v>
      </c>
      <c r="P51" t="s">
        <v>489</v>
      </c>
      <c r="Q51">
        <v>1</v>
      </c>
      <c r="Y51">
        <v>4.9334999999999996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4.29</v>
      </c>
      <c r="AU51" t="s">
        <v>294</v>
      </c>
      <c r="AV51">
        <v>1</v>
      </c>
      <c r="AW51">
        <v>2</v>
      </c>
      <c r="AX51">
        <v>18916611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ROW(Source!A177)</f>
        <v>177</v>
      </c>
      <c r="B52">
        <v>18916601</v>
      </c>
      <c r="C52">
        <v>18916599</v>
      </c>
      <c r="D52">
        <v>7231127</v>
      </c>
      <c r="E52">
        <v>1</v>
      </c>
      <c r="F52">
        <v>1</v>
      </c>
      <c r="G52">
        <v>7157832</v>
      </c>
      <c r="H52">
        <v>2</v>
      </c>
      <c r="I52" t="s">
        <v>503</v>
      </c>
      <c r="J52" t="s">
        <v>504</v>
      </c>
      <c r="K52" t="s">
        <v>505</v>
      </c>
      <c r="L52">
        <v>1368</v>
      </c>
      <c r="N52">
        <v>1011</v>
      </c>
      <c r="O52" t="s">
        <v>205</v>
      </c>
      <c r="P52" t="s">
        <v>205</v>
      </c>
      <c r="Q52">
        <v>1</v>
      </c>
      <c r="Y52">
        <v>0.345</v>
      </c>
      <c r="AA52">
        <v>0</v>
      </c>
      <c r="AB52">
        <v>60.77</v>
      </c>
      <c r="AC52">
        <v>18.48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0.3</v>
      </c>
      <c r="AU52" t="s">
        <v>294</v>
      </c>
      <c r="AV52">
        <v>0</v>
      </c>
      <c r="AW52">
        <v>2</v>
      </c>
      <c r="AX52">
        <v>18916612</v>
      </c>
      <c r="AY52">
        <v>1</v>
      </c>
      <c r="AZ52">
        <v>0</v>
      </c>
      <c r="BA52">
        <v>53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ROW(Source!A177)</f>
        <v>177</v>
      </c>
      <c r="B53">
        <v>18916602</v>
      </c>
      <c r="C53">
        <v>18916599</v>
      </c>
      <c r="D53">
        <v>7230893</v>
      </c>
      <c r="E53">
        <v>1</v>
      </c>
      <c r="F53">
        <v>1</v>
      </c>
      <c r="G53">
        <v>7157832</v>
      </c>
      <c r="H53">
        <v>2</v>
      </c>
      <c r="I53" t="s">
        <v>546</v>
      </c>
      <c r="J53" t="s">
        <v>547</v>
      </c>
      <c r="K53" t="s">
        <v>548</v>
      </c>
      <c r="L53">
        <v>1368</v>
      </c>
      <c r="N53">
        <v>1011</v>
      </c>
      <c r="O53" t="s">
        <v>205</v>
      </c>
      <c r="P53" t="s">
        <v>205</v>
      </c>
      <c r="Q53">
        <v>1</v>
      </c>
      <c r="Y53">
        <v>0.345</v>
      </c>
      <c r="AA53">
        <v>0</v>
      </c>
      <c r="AB53">
        <v>106.74</v>
      </c>
      <c r="AC53">
        <v>19.2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0.3</v>
      </c>
      <c r="AU53" t="s">
        <v>294</v>
      </c>
      <c r="AV53">
        <v>0</v>
      </c>
      <c r="AW53">
        <v>2</v>
      </c>
      <c r="AX53">
        <v>18916613</v>
      </c>
      <c r="AY53">
        <v>1</v>
      </c>
      <c r="AZ53">
        <v>0</v>
      </c>
      <c r="BA53">
        <v>54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ROW(Source!A177)</f>
        <v>177</v>
      </c>
      <c r="B54">
        <v>18916603</v>
      </c>
      <c r="C54">
        <v>18916599</v>
      </c>
      <c r="D54">
        <v>7230976</v>
      </c>
      <c r="E54">
        <v>1</v>
      </c>
      <c r="F54">
        <v>1</v>
      </c>
      <c r="G54">
        <v>7157832</v>
      </c>
      <c r="H54">
        <v>2</v>
      </c>
      <c r="I54" t="s">
        <v>549</v>
      </c>
      <c r="J54" t="s">
        <v>550</v>
      </c>
      <c r="K54" t="s">
        <v>551</v>
      </c>
      <c r="L54">
        <v>1368</v>
      </c>
      <c r="N54">
        <v>1011</v>
      </c>
      <c r="O54" t="s">
        <v>205</v>
      </c>
      <c r="P54" t="s">
        <v>205</v>
      </c>
      <c r="Q54">
        <v>1</v>
      </c>
      <c r="Y54">
        <v>0.345</v>
      </c>
      <c r="AA54">
        <v>0</v>
      </c>
      <c r="AB54">
        <v>148.89</v>
      </c>
      <c r="AC54">
        <v>28.61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0.3</v>
      </c>
      <c r="AU54" t="s">
        <v>294</v>
      </c>
      <c r="AV54">
        <v>0</v>
      </c>
      <c r="AW54">
        <v>2</v>
      </c>
      <c r="AX54">
        <v>18916614</v>
      </c>
      <c r="AY54">
        <v>1</v>
      </c>
      <c r="AZ54">
        <v>0</v>
      </c>
      <c r="BA54">
        <v>55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ROW(Source!A177)</f>
        <v>177</v>
      </c>
      <c r="B55">
        <v>18916604</v>
      </c>
      <c r="C55">
        <v>18916599</v>
      </c>
      <c r="D55">
        <v>7230978</v>
      </c>
      <c r="E55">
        <v>1</v>
      </c>
      <c r="F55">
        <v>1</v>
      </c>
      <c r="G55">
        <v>7157832</v>
      </c>
      <c r="H55">
        <v>2</v>
      </c>
      <c r="I55" t="s">
        <v>552</v>
      </c>
      <c r="J55" t="s">
        <v>553</v>
      </c>
      <c r="K55" t="s">
        <v>554</v>
      </c>
      <c r="L55">
        <v>1368</v>
      </c>
      <c r="N55">
        <v>1011</v>
      </c>
      <c r="O55" t="s">
        <v>205</v>
      </c>
      <c r="P55" t="s">
        <v>205</v>
      </c>
      <c r="Q55">
        <v>1</v>
      </c>
      <c r="Y55">
        <v>0.345</v>
      </c>
      <c r="AA55">
        <v>0</v>
      </c>
      <c r="AB55">
        <v>249.15</v>
      </c>
      <c r="AC55">
        <v>42.85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0.3</v>
      </c>
      <c r="AU55" t="s">
        <v>294</v>
      </c>
      <c r="AV55">
        <v>0</v>
      </c>
      <c r="AW55">
        <v>2</v>
      </c>
      <c r="AX55">
        <v>18916615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ROW(Source!A177)</f>
        <v>177</v>
      </c>
      <c r="B56">
        <v>18916605</v>
      </c>
      <c r="C56">
        <v>18916599</v>
      </c>
      <c r="D56">
        <v>7230962</v>
      </c>
      <c r="E56">
        <v>1</v>
      </c>
      <c r="F56">
        <v>1</v>
      </c>
      <c r="G56">
        <v>7157832</v>
      </c>
      <c r="H56">
        <v>2</v>
      </c>
      <c r="I56" t="s">
        <v>555</v>
      </c>
      <c r="J56" t="s">
        <v>556</v>
      </c>
      <c r="K56" t="s">
        <v>557</v>
      </c>
      <c r="L56">
        <v>1368</v>
      </c>
      <c r="N56">
        <v>1011</v>
      </c>
      <c r="O56" t="s">
        <v>205</v>
      </c>
      <c r="P56" t="s">
        <v>205</v>
      </c>
      <c r="Q56">
        <v>1</v>
      </c>
      <c r="Y56">
        <v>0.345</v>
      </c>
      <c r="AA56">
        <v>0</v>
      </c>
      <c r="AB56">
        <v>84.82</v>
      </c>
      <c r="AC56">
        <v>22.85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0.3</v>
      </c>
      <c r="AU56" t="s">
        <v>294</v>
      </c>
      <c r="AV56">
        <v>0</v>
      </c>
      <c r="AW56">
        <v>2</v>
      </c>
      <c r="AX56">
        <v>18916616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ROW(Source!A177)</f>
        <v>177</v>
      </c>
      <c r="B57">
        <v>18916606</v>
      </c>
      <c r="C57">
        <v>18916599</v>
      </c>
      <c r="D57">
        <v>7230993</v>
      </c>
      <c r="E57">
        <v>1</v>
      </c>
      <c r="F57">
        <v>1</v>
      </c>
      <c r="G57">
        <v>7157832</v>
      </c>
      <c r="H57">
        <v>2</v>
      </c>
      <c r="I57" t="s">
        <v>558</v>
      </c>
      <c r="J57" t="s">
        <v>559</v>
      </c>
      <c r="K57" t="s">
        <v>560</v>
      </c>
      <c r="L57">
        <v>1368</v>
      </c>
      <c r="N57">
        <v>1011</v>
      </c>
      <c r="O57" t="s">
        <v>205</v>
      </c>
      <c r="P57" t="s">
        <v>205</v>
      </c>
      <c r="Q57">
        <v>1</v>
      </c>
      <c r="Y57">
        <v>0.345</v>
      </c>
      <c r="AA57">
        <v>0</v>
      </c>
      <c r="AB57">
        <v>124.6</v>
      </c>
      <c r="AC57">
        <v>28.4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0.3</v>
      </c>
      <c r="AU57" t="s">
        <v>294</v>
      </c>
      <c r="AV57">
        <v>0</v>
      </c>
      <c r="AW57">
        <v>2</v>
      </c>
      <c r="AX57">
        <v>18916617</v>
      </c>
      <c r="AY57">
        <v>1</v>
      </c>
      <c r="AZ57">
        <v>0</v>
      </c>
      <c r="BA57">
        <v>58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ROW(Source!A177)</f>
        <v>177</v>
      </c>
      <c r="B58">
        <v>18916607</v>
      </c>
      <c r="C58">
        <v>18916599</v>
      </c>
      <c r="D58">
        <v>7230966</v>
      </c>
      <c r="E58">
        <v>1</v>
      </c>
      <c r="F58">
        <v>1</v>
      </c>
      <c r="G58">
        <v>7157832</v>
      </c>
      <c r="H58">
        <v>2</v>
      </c>
      <c r="I58" t="s">
        <v>561</v>
      </c>
      <c r="J58" t="s">
        <v>562</v>
      </c>
      <c r="K58" t="s">
        <v>563</v>
      </c>
      <c r="L58">
        <v>1368</v>
      </c>
      <c r="N58">
        <v>1011</v>
      </c>
      <c r="O58" t="s">
        <v>205</v>
      </c>
      <c r="P58" t="s">
        <v>205</v>
      </c>
      <c r="Q58">
        <v>1</v>
      </c>
      <c r="Y58">
        <v>0.345</v>
      </c>
      <c r="AA58">
        <v>0</v>
      </c>
      <c r="AB58">
        <v>88.4</v>
      </c>
      <c r="AC58">
        <v>23.18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0.3</v>
      </c>
      <c r="AU58" t="s">
        <v>294</v>
      </c>
      <c r="AV58">
        <v>0</v>
      </c>
      <c r="AW58">
        <v>2</v>
      </c>
      <c r="AX58">
        <v>18916618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ROW(Source!A177)</f>
        <v>177</v>
      </c>
      <c r="B59">
        <v>18916608</v>
      </c>
      <c r="C59">
        <v>18916599</v>
      </c>
      <c r="D59">
        <v>7230967</v>
      </c>
      <c r="E59">
        <v>1</v>
      </c>
      <c r="F59">
        <v>1</v>
      </c>
      <c r="G59">
        <v>7157832</v>
      </c>
      <c r="H59">
        <v>2</v>
      </c>
      <c r="I59" t="s">
        <v>527</v>
      </c>
      <c r="J59" t="s">
        <v>528</v>
      </c>
      <c r="K59" t="s">
        <v>529</v>
      </c>
      <c r="L59">
        <v>1368</v>
      </c>
      <c r="N59">
        <v>1011</v>
      </c>
      <c r="O59" t="s">
        <v>205</v>
      </c>
      <c r="P59" t="s">
        <v>205</v>
      </c>
      <c r="Q59">
        <v>1</v>
      </c>
      <c r="Y59">
        <v>1.035</v>
      </c>
      <c r="AA59">
        <v>0</v>
      </c>
      <c r="AB59">
        <v>178.02</v>
      </c>
      <c r="AC59">
        <v>23.5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0.9</v>
      </c>
      <c r="AU59" t="s">
        <v>294</v>
      </c>
      <c r="AV59">
        <v>0</v>
      </c>
      <c r="AW59">
        <v>2</v>
      </c>
      <c r="AX59">
        <v>18916619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ROW(Source!A177)</f>
        <v>177</v>
      </c>
      <c r="B60">
        <v>18916609</v>
      </c>
      <c r="C60">
        <v>18916599</v>
      </c>
      <c r="D60">
        <v>7235091</v>
      </c>
      <c r="E60">
        <v>1</v>
      </c>
      <c r="F60">
        <v>1</v>
      </c>
      <c r="G60">
        <v>7157832</v>
      </c>
      <c r="H60">
        <v>3</v>
      </c>
      <c r="I60" t="s">
        <v>564</v>
      </c>
      <c r="J60" t="s">
        <v>565</v>
      </c>
      <c r="K60" t="s">
        <v>566</v>
      </c>
      <c r="L60">
        <v>1348</v>
      </c>
      <c r="N60">
        <v>1009</v>
      </c>
      <c r="O60" t="s">
        <v>120</v>
      </c>
      <c r="P60" t="s">
        <v>120</v>
      </c>
      <c r="Q60">
        <v>1000</v>
      </c>
      <c r="Y60">
        <v>0.04</v>
      </c>
      <c r="AA60">
        <v>1445.87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0.04</v>
      </c>
      <c r="AV60">
        <v>0</v>
      </c>
      <c r="AW60">
        <v>2</v>
      </c>
      <c r="AX60">
        <v>18916620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ROW(Source!A177)</f>
        <v>177</v>
      </c>
      <c r="B61">
        <v>18916610</v>
      </c>
      <c r="C61">
        <v>18916599</v>
      </c>
      <c r="D61">
        <v>7235078</v>
      </c>
      <c r="E61">
        <v>1</v>
      </c>
      <c r="F61">
        <v>1</v>
      </c>
      <c r="G61">
        <v>7157832</v>
      </c>
      <c r="H61">
        <v>3</v>
      </c>
      <c r="I61" t="s">
        <v>396</v>
      </c>
      <c r="J61" t="s">
        <v>398</v>
      </c>
      <c r="K61" t="s">
        <v>397</v>
      </c>
      <c r="L61">
        <v>1348</v>
      </c>
      <c r="N61">
        <v>1009</v>
      </c>
      <c r="O61" t="s">
        <v>120</v>
      </c>
      <c r="P61" t="s">
        <v>120</v>
      </c>
      <c r="Q61">
        <v>1000</v>
      </c>
      <c r="Y61">
        <v>9.58</v>
      </c>
      <c r="AA61">
        <v>305.75</v>
      </c>
      <c r="AB61">
        <v>0</v>
      </c>
      <c r="AC61">
        <v>0</v>
      </c>
      <c r="AD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T61">
        <v>9.58</v>
      </c>
      <c r="AV61">
        <v>0</v>
      </c>
      <c r="AW61">
        <v>1</v>
      </c>
      <c r="AX61">
        <v>-1</v>
      </c>
      <c r="AY61">
        <v>0</v>
      </c>
      <c r="AZ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ROW(Source!A179)</f>
        <v>179</v>
      </c>
      <c r="B62">
        <v>18916624</v>
      </c>
      <c r="C62">
        <v>18916623</v>
      </c>
      <c r="D62">
        <v>7157835</v>
      </c>
      <c r="E62">
        <v>7157832</v>
      </c>
      <c r="F62">
        <v>1</v>
      </c>
      <c r="G62">
        <v>7157832</v>
      </c>
      <c r="H62">
        <v>1</v>
      </c>
      <c r="I62" t="s">
        <v>487</v>
      </c>
      <c r="K62" t="s">
        <v>488</v>
      </c>
      <c r="L62">
        <v>1191</v>
      </c>
      <c r="N62">
        <v>1013</v>
      </c>
      <c r="O62" t="s">
        <v>489</v>
      </c>
      <c r="P62" t="s">
        <v>489</v>
      </c>
      <c r="Q62">
        <v>1</v>
      </c>
      <c r="Y62">
        <v>1.2189999999999999</v>
      </c>
      <c r="AA62">
        <v>0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0.53</v>
      </c>
      <c r="AU62" t="s">
        <v>403</v>
      </c>
      <c r="AV62">
        <v>1</v>
      </c>
      <c r="AW62">
        <v>2</v>
      </c>
      <c r="AX62">
        <v>18916628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ROW(Source!A179)</f>
        <v>179</v>
      </c>
      <c r="B63">
        <v>18916625</v>
      </c>
      <c r="C63">
        <v>18916623</v>
      </c>
      <c r="D63">
        <v>7230893</v>
      </c>
      <c r="E63">
        <v>1</v>
      </c>
      <c r="F63">
        <v>1</v>
      </c>
      <c r="G63">
        <v>7157832</v>
      </c>
      <c r="H63">
        <v>2</v>
      </c>
      <c r="I63" t="s">
        <v>546</v>
      </c>
      <c r="J63" t="s">
        <v>547</v>
      </c>
      <c r="K63" t="s">
        <v>548</v>
      </c>
      <c r="L63">
        <v>1368</v>
      </c>
      <c r="N63">
        <v>1011</v>
      </c>
      <c r="O63" t="s">
        <v>205</v>
      </c>
      <c r="P63" t="s">
        <v>205</v>
      </c>
      <c r="Q63">
        <v>1</v>
      </c>
      <c r="Y63">
        <v>0.1725</v>
      </c>
      <c r="AA63">
        <v>0</v>
      </c>
      <c r="AB63">
        <v>106.74</v>
      </c>
      <c r="AC63">
        <v>19.2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0.075</v>
      </c>
      <c r="AU63" t="s">
        <v>403</v>
      </c>
      <c r="AV63">
        <v>0</v>
      </c>
      <c r="AW63">
        <v>2</v>
      </c>
      <c r="AX63">
        <v>18916629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ROW(Source!A179)</f>
        <v>179</v>
      </c>
      <c r="B64">
        <v>18916626</v>
      </c>
      <c r="C64">
        <v>18916623</v>
      </c>
      <c r="D64">
        <v>7230993</v>
      </c>
      <c r="E64">
        <v>1</v>
      </c>
      <c r="F64">
        <v>1</v>
      </c>
      <c r="G64">
        <v>7157832</v>
      </c>
      <c r="H64">
        <v>2</v>
      </c>
      <c r="I64" t="s">
        <v>558</v>
      </c>
      <c r="J64" t="s">
        <v>559</v>
      </c>
      <c r="K64" t="s">
        <v>560</v>
      </c>
      <c r="L64">
        <v>1368</v>
      </c>
      <c r="N64">
        <v>1011</v>
      </c>
      <c r="O64" t="s">
        <v>205</v>
      </c>
      <c r="P64" t="s">
        <v>205</v>
      </c>
      <c r="Q64">
        <v>1</v>
      </c>
      <c r="Y64">
        <v>0.1725</v>
      </c>
      <c r="AA64">
        <v>0</v>
      </c>
      <c r="AB64">
        <v>124.6</v>
      </c>
      <c r="AC64">
        <v>28.4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0.075</v>
      </c>
      <c r="AU64" t="s">
        <v>403</v>
      </c>
      <c r="AV64">
        <v>0</v>
      </c>
      <c r="AW64">
        <v>2</v>
      </c>
      <c r="AX64">
        <v>18916630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ROW(Source!A179)</f>
        <v>179</v>
      </c>
      <c r="B65">
        <v>18916627</v>
      </c>
      <c r="C65">
        <v>18916623</v>
      </c>
      <c r="D65">
        <v>7235078</v>
      </c>
      <c r="E65">
        <v>1</v>
      </c>
      <c r="F65">
        <v>1</v>
      </c>
      <c r="G65">
        <v>7157832</v>
      </c>
      <c r="H65">
        <v>3</v>
      </c>
      <c r="I65" t="s">
        <v>396</v>
      </c>
      <c r="J65" t="s">
        <v>398</v>
      </c>
      <c r="K65" t="s">
        <v>397</v>
      </c>
      <c r="L65">
        <v>1348</v>
      </c>
      <c r="N65">
        <v>1009</v>
      </c>
      <c r="O65" t="s">
        <v>120</v>
      </c>
      <c r="P65" t="s">
        <v>120</v>
      </c>
      <c r="Q65">
        <v>1000</v>
      </c>
      <c r="Y65">
        <v>2.4</v>
      </c>
      <c r="AA65">
        <v>305.75</v>
      </c>
      <c r="AB65">
        <v>0</v>
      </c>
      <c r="AC65">
        <v>0</v>
      </c>
      <c r="AD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2.4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ROW(Source!A181)</f>
        <v>181</v>
      </c>
      <c r="B66">
        <v>18916634</v>
      </c>
      <c r="C66">
        <v>18916633</v>
      </c>
      <c r="D66">
        <v>7157835</v>
      </c>
      <c r="E66">
        <v>7157832</v>
      </c>
      <c r="F66">
        <v>1</v>
      </c>
      <c r="G66">
        <v>7157832</v>
      </c>
      <c r="H66">
        <v>1</v>
      </c>
      <c r="I66" t="s">
        <v>487</v>
      </c>
      <c r="K66" t="s">
        <v>488</v>
      </c>
      <c r="L66">
        <v>1191</v>
      </c>
      <c r="N66">
        <v>1013</v>
      </c>
      <c r="O66" t="s">
        <v>489</v>
      </c>
      <c r="P66" t="s">
        <v>489</v>
      </c>
      <c r="Q66">
        <v>1</v>
      </c>
      <c r="Y66">
        <v>4.9334999999999996</v>
      </c>
      <c r="AA66">
        <v>0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4.29</v>
      </c>
      <c r="AU66" t="s">
        <v>294</v>
      </c>
      <c r="AV66">
        <v>1</v>
      </c>
      <c r="AW66">
        <v>2</v>
      </c>
      <c r="AX66">
        <v>18916645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ROW(Source!A181)</f>
        <v>181</v>
      </c>
      <c r="B67">
        <v>18916635</v>
      </c>
      <c r="C67">
        <v>18916633</v>
      </c>
      <c r="D67">
        <v>7231127</v>
      </c>
      <c r="E67">
        <v>1</v>
      </c>
      <c r="F67">
        <v>1</v>
      </c>
      <c r="G67">
        <v>7157832</v>
      </c>
      <c r="H67">
        <v>2</v>
      </c>
      <c r="I67" t="s">
        <v>503</v>
      </c>
      <c r="J67" t="s">
        <v>504</v>
      </c>
      <c r="K67" t="s">
        <v>505</v>
      </c>
      <c r="L67">
        <v>1368</v>
      </c>
      <c r="N67">
        <v>1011</v>
      </c>
      <c r="O67" t="s">
        <v>205</v>
      </c>
      <c r="P67" t="s">
        <v>205</v>
      </c>
      <c r="Q67">
        <v>1</v>
      </c>
      <c r="Y67">
        <v>0.345</v>
      </c>
      <c r="AA67">
        <v>0</v>
      </c>
      <c r="AB67">
        <v>60.77</v>
      </c>
      <c r="AC67">
        <v>18.48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0.3</v>
      </c>
      <c r="AU67" t="s">
        <v>294</v>
      </c>
      <c r="AV67">
        <v>0</v>
      </c>
      <c r="AW67">
        <v>2</v>
      </c>
      <c r="AX67">
        <v>18916646</v>
      </c>
      <c r="AY67">
        <v>1</v>
      </c>
      <c r="AZ67">
        <v>0</v>
      </c>
      <c r="BA67">
        <v>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ROW(Source!A181)</f>
        <v>181</v>
      </c>
      <c r="B68">
        <v>18916636</v>
      </c>
      <c r="C68">
        <v>18916633</v>
      </c>
      <c r="D68">
        <v>7230893</v>
      </c>
      <c r="E68">
        <v>1</v>
      </c>
      <c r="F68">
        <v>1</v>
      </c>
      <c r="G68">
        <v>7157832</v>
      </c>
      <c r="H68">
        <v>2</v>
      </c>
      <c r="I68" t="s">
        <v>546</v>
      </c>
      <c r="J68" t="s">
        <v>547</v>
      </c>
      <c r="K68" t="s">
        <v>548</v>
      </c>
      <c r="L68">
        <v>1368</v>
      </c>
      <c r="N68">
        <v>1011</v>
      </c>
      <c r="O68" t="s">
        <v>205</v>
      </c>
      <c r="P68" t="s">
        <v>205</v>
      </c>
      <c r="Q68">
        <v>1</v>
      </c>
      <c r="Y68">
        <v>0.345</v>
      </c>
      <c r="AA68">
        <v>0</v>
      </c>
      <c r="AB68">
        <v>106.74</v>
      </c>
      <c r="AC68">
        <v>19.2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0.3</v>
      </c>
      <c r="AU68" t="s">
        <v>294</v>
      </c>
      <c r="AV68">
        <v>0</v>
      </c>
      <c r="AW68">
        <v>2</v>
      </c>
      <c r="AX68">
        <v>18916647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ROW(Source!A181)</f>
        <v>181</v>
      </c>
      <c r="B69">
        <v>18916637</v>
      </c>
      <c r="C69">
        <v>18916633</v>
      </c>
      <c r="D69">
        <v>7230976</v>
      </c>
      <c r="E69">
        <v>1</v>
      </c>
      <c r="F69">
        <v>1</v>
      </c>
      <c r="G69">
        <v>7157832</v>
      </c>
      <c r="H69">
        <v>2</v>
      </c>
      <c r="I69" t="s">
        <v>549</v>
      </c>
      <c r="J69" t="s">
        <v>550</v>
      </c>
      <c r="K69" t="s">
        <v>551</v>
      </c>
      <c r="L69">
        <v>1368</v>
      </c>
      <c r="N69">
        <v>1011</v>
      </c>
      <c r="O69" t="s">
        <v>205</v>
      </c>
      <c r="P69" t="s">
        <v>205</v>
      </c>
      <c r="Q69">
        <v>1</v>
      </c>
      <c r="Y69">
        <v>0.345</v>
      </c>
      <c r="AA69">
        <v>0</v>
      </c>
      <c r="AB69">
        <v>148.89</v>
      </c>
      <c r="AC69">
        <v>28.61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0.3</v>
      </c>
      <c r="AU69" t="s">
        <v>294</v>
      </c>
      <c r="AV69">
        <v>0</v>
      </c>
      <c r="AW69">
        <v>2</v>
      </c>
      <c r="AX69">
        <v>18916648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ROW(Source!A181)</f>
        <v>181</v>
      </c>
      <c r="B70">
        <v>18916638</v>
      </c>
      <c r="C70">
        <v>18916633</v>
      </c>
      <c r="D70">
        <v>7230978</v>
      </c>
      <c r="E70">
        <v>1</v>
      </c>
      <c r="F70">
        <v>1</v>
      </c>
      <c r="G70">
        <v>7157832</v>
      </c>
      <c r="H70">
        <v>2</v>
      </c>
      <c r="I70" t="s">
        <v>552</v>
      </c>
      <c r="J70" t="s">
        <v>553</v>
      </c>
      <c r="K70" t="s">
        <v>554</v>
      </c>
      <c r="L70">
        <v>1368</v>
      </c>
      <c r="N70">
        <v>1011</v>
      </c>
      <c r="O70" t="s">
        <v>205</v>
      </c>
      <c r="P70" t="s">
        <v>205</v>
      </c>
      <c r="Q70">
        <v>1</v>
      </c>
      <c r="Y70">
        <v>0.345</v>
      </c>
      <c r="AA70">
        <v>0</v>
      </c>
      <c r="AB70">
        <v>249.15</v>
      </c>
      <c r="AC70">
        <v>42.85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0.3</v>
      </c>
      <c r="AU70" t="s">
        <v>294</v>
      </c>
      <c r="AV70">
        <v>0</v>
      </c>
      <c r="AW70">
        <v>2</v>
      </c>
      <c r="AX70">
        <v>18916649</v>
      </c>
      <c r="AY70">
        <v>1</v>
      </c>
      <c r="AZ70">
        <v>0</v>
      </c>
      <c r="BA70">
        <v>71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ROW(Source!A181)</f>
        <v>181</v>
      </c>
      <c r="B71">
        <v>18916639</v>
      </c>
      <c r="C71">
        <v>18916633</v>
      </c>
      <c r="D71">
        <v>7230962</v>
      </c>
      <c r="E71">
        <v>1</v>
      </c>
      <c r="F71">
        <v>1</v>
      </c>
      <c r="G71">
        <v>7157832</v>
      </c>
      <c r="H71">
        <v>2</v>
      </c>
      <c r="I71" t="s">
        <v>555</v>
      </c>
      <c r="J71" t="s">
        <v>556</v>
      </c>
      <c r="K71" t="s">
        <v>557</v>
      </c>
      <c r="L71">
        <v>1368</v>
      </c>
      <c r="N71">
        <v>1011</v>
      </c>
      <c r="O71" t="s">
        <v>205</v>
      </c>
      <c r="P71" t="s">
        <v>205</v>
      </c>
      <c r="Q71">
        <v>1</v>
      </c>
      <c r="Y71">
        <v>0.345</v>
      </c>
      <c r="AA71">
        <v>0</v>
      </c>
      <c r="AB71">
        <v>84.82</v>
      </c>
      <c r="AC71">
        <v>22.85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0.3</v>
      </c>
      <c r="AU71" t="s">
        <v>294</v>
      </c>
      <c r="AV71">
        <v>0</v>
      </c>
      <c r="AW71">
        <v>2</v>
      </c>
      <c r="AX71">
        <v>18916650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ROW(Source!A181)</f>
        <v>181</v>
      </c>
      <c r="B72">
        <v>18916640</v>
      </c>
      <c r="C72">
        <v>18916633</v>
      </c>
      <c r="D72">
        <v>7230993</v>
      </c>
      <c r="E72">
        <v>1</v>
      </c>
      <c r="F72">
        <v>1</v>
      </c>
      <c r="G72">
        <v>7157832</v>
      </c>
      <c r="H72">
        <v>2</v>
      </c>
      <c r="I72" t="s">
        <v>558</v>
      </c>
      <c r="J72" t="s">
        <v>559</v>
      </c>
      <c r="K72" t="s">
        <v>560</v>
      </c>
      <c r="L72">
        <v>1368</v>
      </c>
      <c r="N72">
        <v>1011</v>
      </c>
      <c r="O72" t="s">
        <v>205</v>
      </c>
      <c r="P72" t="s">
        <v>205</v>
      </c>
      <c r="Q72">
        <v>1</v>
      </c>
      <c r="Y72">
        <v>0.345</v>
      </c>
      <c r="AA72">
        <v>0</v>
      </c>
      <c r="AB72">
        <v>124.6</v>
      </c>
      <c r="AC72">
        <v>28.4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0.3</v>
      </c>
      <c r="AU72" t="s">
        <v>294</v>
      </c>
      <c r="AV72">
        <v>0</v>
      </c>
      <c r="AW72">
        <v>2</v>
      </c>
      <c r="AX72">
        <v>18916651</v>
      </c>
      <c r="AY72">
        <v>1</v>
      </c>
      <c r="AZ72">
        <v>0</v>
      </c>
      <c r="BA72">
        <v>73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ROW(Source!A181)</f>
        <v>181</v>
      </c>
      <c r="B73">
        <v>18916641</v>
      </c>
      <c r="C73">
        <v>18916633</v>
      </c>
      <c r="D73">
        <v>7230966</v>
      </c>
      <c r="E73">
        <v>1</v>
      </c>
      <c r="F73">
        <v>1</v>
      </c>
      <c r="G73">
        <v>7157832</v>
      </c>
      <c r="H73">
        <v>2</v>
      </c>
      <c r="I73" t="s">
        <v>561</v>
      </c>
      <c r="J73" t="s">
        <v>562</v>
      </c>
      <c r="K73" t="s">
        <v>563</v>
      </c>
      <c r="L73">
        <v>1368</v>
      </c>
      <c r="N73">
        <v>1011</v>
      </c>
      <c r="O73" t="s">
        <v>205</v>
      </c>
      <c r="P73" t="s">
        <v>205</v>
      </c>
      <c r="Q73">
        <v>1</v>
      </c>
      <c r="Y73">
        <v>0.345</v>
      </c>
      <c r="AA73">
        <v>0</v>
      </c>
      <c r="AB73">
        <v>88.4</v>
      </c>
      <c r="AC73">
        <v>23.18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0.3</v>
      </c>
      <c r="AU73" t="s">
        <v>294</v>
      </c>
      <c r="AV73">
        <v>0</v>
      </c>
      <c r="AW73">
        <v>2</v>
      </c>
      <c r="AX73">
        <v>18916652</v>
      </c>
      <c r="AY73">
        <v>1</v>
      </c>
      <c r="AZ73">
        <v>0</v>
      </c>
      <c r="BA73">
        <v>74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ROW(Source!A181)</f>
        <v>181</v>
      </c>
      <c r="B74">
        <v>18916642</v>
      </c>
      <c r="C74">
        <v>18916633</v>
      </c>
      <c r="D74">
        <v>7230967</v>
      </c>
      <c r="E74">
        <v>1</v>
      </c>
      <c r="F74">
        <v>1</v>
      </c>
      <c r="G74">
        <v>7157832</v>
      </c>
      <c r="H74">
        <v>2</v>
      </c>
      <c r="I74" t="s">
        <v>527</v>
      </c>
      <c r="J74" t="s">
        <v>528</v>
      </c>
      <c r="K74" t="s">
        <v>529</v>
      </c>
      <c r="L74">
        <v>1368</v>
      </c>
      <c r="N74">
        <v>1011</v>
      </c>
      <c r="O74" t="s">
        <v>205</v>
      </c>
      <c r="P74" t="s">
        <v>205</v>
      </c>
      <c r="Q74">
        <v>1</v>
      </c>
      <c r="Y74">
        <v>1.035</v>
      </c>
      <c r="AA74">
        <v>0</v>
      </c>
      <c r="AB74">
        <v>178.02</v>
      </c>
      <c r="AC74">
        <v>23.5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0.9</v>
      </c>
      <c r="AU74" t="s">
        <v>294</v>
      </c>
      <c r="AV74">
        <v>0</v>
      </c>
      <c r="AW74">
        <v>2</v>
      </c>
      <c r="AX74">
        <v>18916653</v>
      </c>
      <c r="AY74">
        <v>1</v>
      </c>
      <c r="AZ74">
        <v>0</v>
      </c>
      <c r="BA74">
        <v>75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ROW(Source!A181)</f>
        <v>181</v>
      </c>
      <c r="B75">
        <v>18916644</v>
      </c>
      <c r="C75">
        <v>18916633</v>
      </c>
      <c r="D75">
        <v>7235083</v>
      </c>
      <c r="E75">
        <v>1</v>
      </c>
      <c r="F75">
        <v>1</v>
      </c>
      <c r="G75">
        <v>7157832</v>
      </c>
      <c r="H75">
        <v>3</v>
      </c>
      <c r="I75" t="s">
        <v>407</v>
      </c>
      <c r="J75" t="s">
        <v>409</v>
      </c>
      <c r="K75" t="s">
        <v>408</v>
      </c>
      <c r="L75">
        <v>1348</v>
      </c>
      <c r="N75">
        <v>1009</v>
      </c>
      <c r="O75" t="s">
        <v>120</v>
      </c>
      <c r="P75" t="s">
        <v>120</v>
      </c>
      <c r="Q75">
        <v>1000</v>
      </c>
      <c r="Y75">
        <v>9.33</v>
      </c>
      <c r="AA75">
        <v>301.52</v>
      </c>
      <c r="AB75">
        <v>0</v>
      </c>
      <c r="AC75">
        <v>0</v>
      </c>
      <c r="AD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9.33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ROW(Source!A181)</f>
        <v>181</v>
      </c>
      <c r="B76">
        <v>18916643</v>
      </c>
      <c r="C76">
        <v>18916633</v>
      </c>
      <c r="D76">
        <v>7235091</v>
      </c>
      <c r="E76">
        <v>1</v>
      </c>
      <c r="F76">
        <v>1</v>
      </c>
      <c r="G76">
        <v>7157832</v>
      </c>
      <c r="H76">
        <v>3</v>
      </c>
      <c r="I76" t="s">
        <v>564</v>
      </c>
      <c r="J76" t="s">
        <v>565</v>
      </c>
      <c r="K76" t="s">
        <v>566</v>
      </c>
      <c r="L76">
        <v>1348</v>
      </c>
      <c r="N76">
        <v>1009</v>
      </c>
      <c r="O76" t="s">
        <v>120</v>
      </c>
      <c r="P76" t="s">
        <v>120</v>
      </c>
      <c r="Q76">
        <v>1000</v>
      </c>
      <c r="Y76">
        <v>0.04</v>
      </c>
      <c r="AA76">
        <v>1445.87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</v>
      </c>
      <c r="AV76">
        <v>0</v>
      </c>
      <c r="AW76">
        <v>2</v>
      </c>
      <c r="AX76">
        <v>18916654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ROW(Source!A183)</f>
        <v>183</v>
      </c>
      <c r="B77">
        <v>18916658</v>
      </c>
      <c r="C77">
        <v>18916657</v>
      </c>
      <c r="D77">
        <v>7157835</v>
      </c>
      <c r="E77">
        <v>7157832</v>
      </c>
      <c r="F77">
        <v>1</v>
      </c>
      <c r="G77">
        <v>7157832</v>
      </c>
      <c r="H77">
        <v>1</v>
      </c>
      <c r="I77" t="s">
        <v>487</v>
      </c>
      <c r="K77" t="s">
        <v>488</v>
      </c>
      <c r="L77">
        <v>1191</v>
      </c>
      <c r="N77">
        <v>1013</v>
      </c>
      <c r="O77" t="s">
        <v>489</v>
      </c>
      <c r="P77" t="s">
        <v>489</v>
      </c>
      <c r="Q77">
        <v>1</v>
      </c>
      <c r="Y77">
        <v>3.8064999999999998</v>
      </c>
      <c r="AA77">
        <v>0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3.31</v>
      </c>
      <c r="AU77" t="s">
        <v>294</v>
      </c>
      <c r="AV77">
        <v>1</v>
      </c>
      <c r="AW77">
        <v>2</v>
      </c>
      <c r="AX77">
        <v>18916663</v>
      </c>
      <c r="AY77">
        <v>1</v>
      </c>
      <c r="AZ77">
        <v>0</v>
      </c>
      <c r="BA77">
        <v>78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ROW(Source!A183)</f>
        <v>183</v>
      </c>
      <c r="B78">
        <v>18916659</v>
      </c>
      <c r="C78">
        <v>18916657</v>
      </c>
      <c r="D78">
        <v>7231426</v>
      </c>
      <c r="E78">
        <v>1</v>
      </c>
      <c r="F78">
        <v>1</v>
      </c>
      <c r="G78">
        <v>7157832</v>
      </c>
      <c r="H78">
        <v>2</v>
      </c>
      <c r="I78" t="s">
        <v>567</v>
      </c>
      <c r="J78" t="s">
        <v>568</v>
      </c>
      <c r="K78" t="s">
        <v>569</v>
      </c>
      <c r="L78">
        <v>1368</v>
      </c>
      <c r="N78">
        <v>1011</v>
      </c>
      <c r="O78" t="s">
        <v>205</v>
      </c>
      <c r="P78" t="s">
        <v>205</v>
      </c>
      <c r="Q78">
        <v>1</v>
      </c>
      <c r="Y78">
        <v>0.2645</v>
      </c>
      <c r="AA78">
        <v>0</v>
      </c>
      <c r="AB78">
        <v>79.58</v>
      </c>
      <c r="AC78">
        <v>19.57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0.23</v>
      </c>
      <c r="AU78" t="s">
        <v>294</v>
      </c>
      <c r="AV78">
        <v>0</v>
      </c>
      <c r="AW78">
        <v>2</v>
      </c>
      <c r="AX78">
        <v>18916664</v>
      </c>
      <c r="AY78">
        <v>1</v>
      </c>
      <c r="AZ78">
        <v>0</v>
      </c>
      <c r="BA78">
        <v>79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ROW(Source!A183)</f>
        <v>183</v>
      </c>
      <c r="B79">
        <v>18916660</v>
      </c>
      <c r="C79">
        <v>18916657</v>
      </c>
      <c r="D79">
        <v>7231063</v>
      </c>
      <c r="E79">
        <v>1</v>
      </c>
      <c r="F79">
        <v>1</v>
      </c>
      <c r="G79">
        <v>7157832</v>
      </c>
      <c r="H79">
        <v>2</v>
      </c>
      <c r="I79" t="s">
        <v>570</v>
      </c>
      <c r="J79" t="s">
        <v>571</v>
      </c>
      <c r="K79" t="s">
        <v>572</v>
      </c>
      <c r="L79">
        <v>1368</v>
      </c>
      <c r="N79">
        <v>1011</v>
      </c>
      <c r="O79" t="s">
        <v>205</v>
      </c>
      <c r="P79" t="s">
        <v>205</v>
      </c>
      <c r="Q79">
        <v>1</v>
      </c>
      <c r="Y79">
        <v>0.24149999999999996</v>
      </c>
      <c r="AA79">
        <v>0</v>
      </c>
      <c r="AB79">
        <v>2.06</v>
      </c>
      <c r="AC79">
        <v>0.09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0.21</v>
      </c>
      <c r="AU79" t="s">
        <v>294</v>
      </c>
      <c r="AV79">
        <v>0</v>
      </c>
      <c r="AW79">
        <v>2</v>
      </c>
      <c r="AX79">
        <v>18916665</v>
      </c>
      <c r="AY79">
        <v>1</v>
      </c>
      <c r="AZ79">
        <v>0</v>
      </c>
      <c r="BA79">
        <v>80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ROW(Source!A183)</f>
        <v>183</v>
      </c>
      <c r="B80">
        <v>18916662</v>
      </c>
      <c r="C80">
        <v>18916657</v>
      </c>
      <c r="D80">
        <v>7234874</v>
      </c>
      <c r="E80">
        <v>1</v>
      </c>
      <c r="F80">
        <v>1</v>
      </c>
      <c r="G80">
        <v>7157832</v>
      </c>
      <c r="H80">
        <v>3</v>
      </c>
      <c r="I80" t="s">
        <v>419</v>
      </c>
      <c r="J80" t="s">
        <v>421</v>
      </c>
      <c r="K80" t="s">
        <v>420</v>
      </c>
      <c r="L80">
        <v>1339</v>
      </c>
      <c r="N80">
        <v>1007</v>
      </c>
      <c r="O80" t="s">
        <v>34</v>
      </c>
      <c r="P80" t="s">
        <v>34</v>
      </c>
      <c r="Q80">
        <v>1</v>
      </c>
      <c r="Y80">
        <v>1.02</v>
      </c>
      <c r="AA80">
        <v>704.89</v>
      </c>
      <c r="AB80">
        <v>0</v>
      </c>
      <c r="AC80">
        <v>0</v>
      </c>
      <c r="AD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T80">
        <v>1.02</v>
      </c>
      <c r="AV80">
        <v>0</v>
      </c>
      <c r="AW80">
        <v>1</v>
      </c>
      <c r="AX80">
        <v>-1</v>
      </c>
      <c r="AY80">
        <v>0</v>
      </c>
      <c r="AZ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ROW(Source!A183)</f>
        <v>183</v>
      </c>
      <c r="B81">
        <v>18916661</v>
      </c>
      <c r="C81">
        <v>18916657</v>
      </c>
      <c r="D81">
        <v>7235110</v>
      </c>
      <c r="E81">
        <v>1</v>
      </c>
      <c r="F81">
        <v>1</v>
      </c>
      <c r="G81">
        <v>7157832</v>
      </c>
      <c r="H81">
        <v>3</v>
      </c>
      <c r="I81" t="s">
        <v>415</v>
      </c>
      <c r="J81" t="s">
        <v>417</v>
      </c>
      <c r="K81" t="s">
        <v>416</v>
      </c>
      <c r="L81">
        <v>1348</v>
      </c>
      <c r="N81">
        <v>1009</v>
      </c>
      <c r="O81" t="s">
        <v>120</v>
      </c>
      <c r="P81" t="s">
        <v>120</v>
      </c>
      <c r="Q81">
        <v>1000</v>
      </c>
      <c r="Y81">
        <v>0.0021</v>
      </c>
      <c r="AA81">
        <v>6385.24</v>
      </c>
      <c r="AB81">
        <v>0</v>
      </c>
      <c r="AC81">
        <v>0</v>
      </c>
      <c r="AD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0.0021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ROW(Source!A186)</f>
        <v>186</v>
      </c>
      <c r="B82">
        <v>18916671</v>
      </c>
      <c r="C82">
        <v>18916670</v>
      </c>
      <c r="D82">
        <v>7157835</v>
      </c>
      <c r="E82">
        <v>7157832</v>
      </c>
      <c r="F82">
        <v>1</v>
      </c>
      <c r="G82">
        <v>7157832</v>
      </c>
      <c r="H82">
        <v>1</v>
      </c>
      <c r="I82" t="s">
        <v>487</v>
      </c>
      <c r="K82" t="s">
        <v>488</v>
      </c>
      <c r="L82">
        <v>1191</v>
      </c>
      <c r="N82">
        <v>1013</v>
      </c>
      <c r="O82" t="s">
        <v>489</v>
      </c>
      <c r="P82" t="s">
        <v>489</v>
      </c>
      <c r="Q82">
        <v>1</v>
      </c>
      <c r="Y82">
        <v>2.5989999999999998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2.26</v>
      </c>
      <c r="AU82" t="s">
        <v>294</v>
      </c>
      <c r="AV82">
        <v>1</v>
      </c>
      <c r="AW82">
        <v>2</v>
      </c>
      <c r="AX82">
        <v>18916676</v>
      </c>
      <c r="AY82">
        <v>1</v>
      </c>
      <c r="AZ82">
        <v>0</v>
      </c>
      <c r="BA82">
        <v>83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ROW(Source!A186)</f>
        <v>186</v>
      </c>
      <c r="B83">
        <v>18916674</v>
      </c>
      <c r="C83">
        <v>18916670</v>
      </c>
      <c r="D83">
        <v>7159942</v>
      </c>
      <c r="E83">
        <v>7157832</v>
      </c>
      <c r="F83">
        <v>1</v>
      </c>
      <c r="G83">
        <v>7157832</v>
      </c>
      <c r="H83">
        <v>2</v>
      </c>
      <c r="I83" t="s">
        <v>490</v>
      </c>
      <c r="K83" t="s">
        <v>491</v>
      </c>
      <c r="L83">
        <v>1344</v>
      </c>
      <c r="N83">
        <v>1008</v>
      </c>
      <c r="O83" t="s">
        <v>492</v>
      </c>
      <c r="P83" t="s">
        <v>492</v>
      </c>
      <c r="Q83">
        <v>1</v>
      </c>
      <c r="Y83">
        <v>6.853999999999999</v>
      </c>
      <c r="AA83">
        <v>0</v>
      </c>
      <c r="AB83">
        <v>1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5.96</v>
      </c>
      <c r="AU83" t="s">
        <v>294</v>
      </c>
      <c r="AV83">
        <v>0</v>
      </c>
      <c r="AW83">
        <v>2</v>
      </c>
      <c r="AX83">
        <v>18916679</v>
      </c>
      <c r="AY83">
        <v>1</v>
      </c>
      <c r="AZ83">
        <v>0</v>
      </c>
      <c r="BA83">
        <v>84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ROW(Source!A186)</f>
        <v>186</v>
      </c>
      <c r="B84">
        <v>18916672</v>
      </c>
      <c r="C84">
        <v>18916670</v>
      </c>
      <c r="D84">
        <v>7230811</v>
      </c>
      <c r="E84">
        <v>1</v>
      </c>
      <c r="F84">
        <v>1</v>
      </c>
      <c r="G84">
        <v>7157832</v>
      </c>
      <c r="H84">
        <v>2</v>
      </c>
      <c r="I84" t="s">
        <v>495</v>
      </c>
      <c r="J84" t="s">
        <v>496</v>
      </c>
      <c r="K84" t="s">
        <v>497</v>
      </c>
      <c r="L84">
        <v>1368</v>
      </c>
      <c r="N84">
        <v>1011</v>
      </c>
      <c r="O84" t="s">
        <v>205</v>
      </c>
      <c r="P84" t="s">
        <v>205</v>
      </c>
      <c r="Q84">
        <v>1</v>
      </c>
      <c r="Y84">
        <v>0.7474999999999999</v>
      </c>
      <c r="AA84">
        <v>0</v>
      </c>
      <c r="AB84">
        <v>102.11</v>
      </c>
      <c r="AC84">
        <v>30.03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0.65</v>
      </c>
      <c r="AU84" t="s">
        <v>294</v>
      </c>
      <c r="AV84">
        <v>0</v>
      </c>
      <c r="AW84">
        <v>2</v>
      </c>
      <c r="AX84">
        <v>18916677</v>
      </c>
      <c r="AY84">
        <v>1</v>
      </c>
      <c r="AZ84">
        <v>0</v>
      </c>
      <c r="BA84">
        <v>85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ROW(Source!A186)</f>
        <v>186</v>
      </c>
      <c r="B85">
        <v>18916673</v>
      </c>
      <c r="C85">
        <v>18916670</v>
      </c>
      <c r="D85">
        <v>7231097</v>
      </c>
      <c r="E85">
        <v>1</v>
      </c>
      <c r="F85">
        <v>1</v>
      </c>
      <c r="G85">
        <v>7157832</v>
      </c>
      <c r="H85">
        <v>2</v>
      </c>
      <c r="I85" t="s">
        <v>573</v>
      </c>
      <c r="J85" t="s">
        <v>574</v>
      </c>
      <c r="K85" t="s">
        <v>575</v>
      </c>
      <c r="L85">
        <v>1368</v>
      </c>
      <c r="N85">
        <v>1011</v>
      </c>
      <c r="O85" t="s">
        <v>205</v>
      </c>
      <c r="P85" t="s">
        <v>205</v>
      </c>
      <c r="Q85">
        <v>1</v>
      </c>
      <c r="Y85">
        <v>0.8164999999999999</v>
      </c>
      <c r="AA85">
        <v>0</v>
      </c>
      <c r="AB85">
        <v>117.73</v>
      </c>
      <c r="AC85">
        <v>24.08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0.71</v>
      </c>
      <c r="AU85" t="s">
        <v>294</v>
      </c>
      <c r="AV85">
        <v>0</v>
      </c>
      <c r="AW85">
        <v>2</v>
      </c>
      <c r="AX85">
        <v>18916678</v>
      </c>
      <c r="AY85">
        <v>1</v>
      </c>
      <c r="AZ85">
        <v>0</v>
      </c>
      <c r="BA85">
        <v>86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ROW(Source!A186)</f>
        <v>186</v>
      </c>
      <c r="B86">
        <v>18916675</v>
      </c>
      <c r="C86">
        <v>18916670</v>
      </c>
      <c r="D86">
        <v>9266830</v>
      </c>
      <c r="E86">
        <v>7157832</v>
      </c>
      <c r="F86">
        <v>1</v>
      </c>
      <c r="G86">
        <v>7157832</v>
      </c>
      <c r="H86">
        <v>3</v>
      </c>
      <c r="I86" t="s">
        <v>576</v>
      </c>
      <c r="K86" t="s">
        <v>577</v>
      </c>
      <c r="L86">
        <v>1348</v>
      </c>
      <c r="N86">
        <v>1009</v>
      </c>
      <c r="O86" t="s">
        <v>120</v>
      </c>
      <c r="P86" t="s">
        <v>120</v>
      </c>
      <c r="Q86">
        <v>1000</v>
      </c>
      <c r="Y86">
        <v>1</v>
      </c>
      <c r="AA86">
        <v>0</v>
      </c>
      <c r="AB86">
        <v>0</v>
      </c>
      <c r="AC86">
        <v>0</v>
      </c>
      <c r="AD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1</v>
      </c>
      <c r="AV86">
        <v>0</v>
      </c>
      <c r="AW86">
        <v>2</v>
      </c>
      <c r="AX86">
        <v>18916680</v>
      </c>
      <c r="AY86">
        <v>1</v>
      </c>
      <c r="AZ86">
        <v>0</v>
      </c>
      <c r="BA86">
        <v>87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ROW(Source!A187)</f>
        <v>187</v>
      </c>
      <c r="B87">
        <v>18916682</v>
      </c>
      <c r="C87">
        <v>18916681</v>
      </c>
      <c r="D87">
        <v>7157835</v>
      </c>
      <c r="E87">
        <v>7157832</v>
      </c>
      <c r="F87">
        <v>1</v>
      </c>
      <c r="G87">
        <v>7157832</v>
      </c>
      <c r="H87">
        <v>1</v>
      </c>
      <c r="I87" t="s">
        <v>487</v>
      </c>
      <c r="K87" t="s">
        <v>488</v>
      </c>
      <c r="L87">
        <v>1191</v>
      </c>
      <c r="N87">
        <v>1013</v>
      </c>
      <c r="O87" t="s">
        <v>489</v>
      </c>
      <c r="P87" t="s">
        <v>489</v>
      </c>
      <c r="Q87">
        <v>1</v>
      </c>
      <c r="Y87">
        <v>0.7474999999999999</v>
      </c>
      <c r="AA87">
        <v>0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0.65</v>
      </c>
      <c r="AU87" t="s">
        <v>294</v>
      </c>
      <c r="AV87">
        <v>1</v>
      </c>
      <c r="AW87">
        <v>2</v>
      </c>
      <c r="AX87">
        <v>18916684</v>
      </c>
      <c r="AY87">
        <v>1</v>
      </c>
      <c r="AZ87">
        <v>0</v>
      </c>
      <c r="BA87">
        <v>88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ROW(Source!A187)</f>
        <v>187</v>
      </c>
      <c r="B88">
        <v>18916683</v>
      </c>
      <c r="C88">
        <v>18916681</v>
      </c>
      <c r="D88">
        <v>7231097</v>
      </c>
      <c r="E88">
        <v>1</v>
      </c>
      <c r="F88">
        <v>1</v>
      </c>
      <c r="G88">
        <v>7157832</v>
      </c>
      <c r="H88">
        <v>2</v>
      </c>
      <c r="I88" t="s">
        <v>573</v>
      </c>
      <c r="J88" t="s">
        <v>574</v>
      </c>
      <c r="K88" t="s">
        <v>575</v>
      </c>
      <c r="L88">
        <v>1368</v>
      </c>
      <c r="N88">
        <v>1011</v>
      </c>
      <c r="O88" t="s">
        <v>205</v>
      </c>
      <c r="P88" t="s">
        <v>205</v>
      </c>
      <c r="Q88">
        <v>1</v>
      </c>
      <c r="Y88">
        <v>0.8164999999999999</v>
      </c>
      <c r="AA88">
        <v>0</v>
      </c>
      <c r="AB88">
        <v>117.73</v>
      </c>
      <c r="AC88">
        <v>24.08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0.71</v>
      </c>
      <c r="AU88" t="s">
        <v>294</v>
      </c>
      <c r="AV88">
        <v>0</v>
      </c>
      <c r="AW88">
        <v>2</v>
      </c>
      <c r="AX88">
        <v>18916685</v>
      </c>
      <c r="AY88">
        <v>1</v>
      </c>
      <c r="AZ88">
        <v>0</v>
      </c>
      <c r="BA88">
        <v>89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ROW(Source!A188)</f>
        <v>188</v>
      </c>
      <c r="B89">
        <v>18916687</v>
      </c>
      <c r="C89">
        <v>18916686</v>
      </c>
      <c r="D89">
        <v>7157835</v>
      </c>
      <c r="E89">
        <v>7157832</v>
      </c>
      <c r="F89">
        <v>1</v>
      </c>
      <c r="G89">
        <v>7157832</v>
      </c>
      <c r="H89">
        <v>1</v>
      </c>
      <c r="I89" t="s">
        <v>487</v>
      </c>
      <c r="K89" t="s">
        <v>488</v>
      </c>
      <c r="L89">
        <v>1191</v>
      </c>
      <c r="N89">
        <v>1013</v>
      </c>
      <c r="O89" t="s">
        <v>489</v>
      </c>
      <c r="P89" t="s">
        <v>489</v>
      </c>
      <c r="Q89">
        <v>1</v>
      </c>
      <c r="Y89">
        <v>13.684999999999999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11.9</v>
      </c>
      <c r="AU89" t="s">
        <v>294</v>
      </c>
      <c r="AV89">
        <v>1</v>
      </c>
      <c r="AW89">
        <v>2</v>
      </c>
      <c r="AX89">
        <v>18916690</v>
      </c>
      <c r="AY89">
        <v>1</v>
      </c>
      <c r="AZ89">
        <v>0</v>
      </c>
      <c r="BA89">
        <v>90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ROW(Source!A188)</f>
        <v>188</v>
      </c>
      <c r="B90">
        <v>18916688</v>
      </c>
      <c r="C90">
        <v>18916686</v>
      </c>
      <c r="D90">
        <v>7231421</v>
      </c>
      <c r="E90">
        <v>1</v>
      </c>
      <c r="F90">
        <v>1</v>
      </c>
      <c r="G90">
        <v>7157832</v>
      </c>
      <c r="H90">
        <v>2</v>
      </c>
      <c r="I90" t="s">
        <v>578</v>
      </c>
      <c r="J90" t="s">
        <v>579</v>
      </c>
      <c r="K90" t="s">
        <v>580</v>
      </c>
      <c r="L90">
        <v>1368</v>
      </c>
      <c r="N90">
        <v>1011</v>
      </c>
      <c r="O90" t="s">
        <v>205</v>
      </c>
      <c r="P90" t="s">
        <v>205</v>
      </c>
      <c r="Q90">
        <v>1</v>
      </c>
      <c r="Y90">
        <v>0.0322</v>
      </c>
      <c r="AA90">
        <v>0</v>
      </c>
      <c r="AB90">
        <v>74.44</v>
      </c>
      <c r="AC90">
        <v>17.59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0.028</v>
      </c>
      <c r="AU90" t="s">
        <v>294</v>
      </c>
      <c r="AV90">
        <v>0</v>
      </c>
      <c r="AW90">
        <v>2</v>
      </c>
      <c r="AX90">
        <v>18916691</v>
      </c>
      <c r="AY90">
        <v>1</v>
      </c>
      <c r="AZ90">
        <v>0</v>
      </c>
      <c r="BA90">
        <v>91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ROW(Source!A188)</f>
        <v>188</v>
      </c>
      <c r="B91">
        <v>18916689</v>
      </c>
      <c r="C91">
        <v>18916686</v>
      </c>
      <c r="D91">
        <v>7233321</v>
      </c>
      <c r="E91">
        <v>1</v>
      </c>
      <c r="F91">
        <v>1</v>
      </c>
      <c r="G91">
        <v>7157832</v>
      </c>
      <c r="H91">
        <v>3</v>
      </c>
      <c r="I91" t="s">
        <v>437</v>
      </c>
      <c r="J91" t="s">
        <v>440</v>
      </c>
      <c r="K91" t="s">
        <v>438</v>
      </c>
      <c r="L91">
        <v>1346</v>
      </c>
      <c r="N91">
        <v>1009</v>
      </c>
      <c r="O91" t="s">
        <v>439</v>
      </c>
      <c r="P91" t="s">
        <v>439</v>
      </c>
      <c r="Q91">
        <v>1</v>
      </c>
      <c r="Y91">
        <v>30.55</v>
      </c>
      <c r="AA91">
        <v>10.41</v>
      </c>
      <c r="AB91">
        <v>0</v>
      </c>
      <c r="AC91">
        <v>0</v>
      </c>
      <c r="AD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T91">
        <v>30.55</v>
      </c>
      <c r="AV91">
        <v>0</v>
      </c>
      <c r="AW91">
        <v>1</v>
      </c>
      <c r="AX91">
        <v>-1</v>
      </c>
      <c r="AY91">
        <v>0</v>
      </c>
      <c r="AZ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ROW(Source!A190)</f>
        <v>190</v>
      </c>
      <c r="B92">
        <v>18916695</v>
      </c>
      <c r="C92">
        <v>18916694</v>
      </c>
      <c r="D92">
        <v>7231140</v>
      </c>
      <c r="E92">
        <v>1</v>
      </c>
      <c r="F92">
        <v>1</v>
      </c>
      <c r="G92">
        <v>7157832</v>
      </c>
      <c r="H92">
        <v>2</v>
      </c>
      <c r="I92" t="s">
        <v>581</v>
      </c>
      <c r="J92" t="s">
        <v>582</v>
      </c>
      <c r="K92" t="s">
        <v>583</v>
      </c>
      <c r="L92">
        <v>1368</v>
      </c>
      <c r="N92">
        <v>1011</v>
      </c>
      <c r="O92" t="s">
        <v>205</v>
      </c>
      <c r="P92" t="s">
        <v>205</v>
      </c>
      <c r="Q92">
        <v>1</v>
      </c>
      <c r="Y92">
        <v>390.99999999999994</v>
      </c>
      <c r="AA92">
        <v>0</v>
      </c>
      <c r="AB92">
        <v>7.11</v>
      </c>
      <c r="AC92">
        <v>4.19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340</v>
      </c>
      <c r="AU92" t="s">
        <v>294</v>
      </c>
      <c r="AV92">
        <v>0</v>
      </c>
      <c r="AW92">
        <v>2</v>
      </c>
      <c r="AX92">
        <v>18916696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ROW(Source!A191)</f>
        <v>191</v>
      </c>
      <c r="B93">
        <v>18916698</v>
      </c>
      <c r="C93">
        <v>18916697</v>
      </c>
      <c r="D93">
        <v>7157835</v>
      </c>
      <c r="E93">
        <v>7157832</v>
      </c>
      <c r="F93">
        <v>1</v>
      </c>
      <c r="G93">
        <v>7157832</v>
      </c>
      <c r="H93">
        <v>1</v>
      </c>
      <c r="I93" t="s">
        <v>487</v>
      </c>
      <c r="K93" t="s">
        <v>488</v>
      </c>
      <c r="L93">
        <v>1191</v>
      </c>
      <c r="N93">
        <v>1013</v>
      </c>
      <c r="O93" t="s">
        <v>489</v>
      </c>
      <c r="P93" t="s">
        <v>489</v>
      </c>
      <c r="Q93">
        <v>1</v>
      </c>
      <c r="Y93">
        <v>17.5</v>
      </c>
      <c r="AA93">
        <v>0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17.5</v>
      </c>
      <c r="AV93">
        <v>1</v>
      </c>
      <c r="AW93">
        <v>2</v>
      </c>
      <c r="AX93">
        <v>18916699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ROW(Source!A238)</f>
        <v>238</v>
      </c>
      <c r="B94">
        <v>18916705</v>
      </c>
      <c r="C94">
        <v>18916704</v>
      </c>
      <c r="D94">
        <v>7157835</v>
      </c>
      <c r="E94">
        <v>7157832</v>
      </c>
      <c r="F94">
        <v>1</v>
      </c>
      <c r="G94">
        <v>7157832</v>
      </c>
      <c r="H94">
        <v>1</v>
      </c>
      <c r="I94" t="s">
        <v>487</v>
      </c>
      <c r="K94" t="s">
        <v>488</v>
      </c>
      <c r="L94">
        <v>1191</v>
      </c>
      <c r="N94">
        <v>1013</v>
      </c>
      <c r="O94" t="s">
        <v>489</v>
      </c>
      <c r="P94" t="s">
        <v>489</v>
      </c>
      <c r="Q94">
        <v>1</v>
      </c>
      <c r="Y94">
        <v>0.04</v>
      </c>
      <c r="AA94">
        <v>0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0.04</v>
      </c>
      <c r="AV94">
        <v>1</v>
      </c>
      <c r="AW94">
        <v>2</v>
      </c>
      <c r="AX94">
        <v>18916707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ROW(Source!A238)</f>
        <v>238</v>
      </c>
      <c r="B95">
        <v>18916706</v>
      </c>
      <c r="C95">
        <v>18916704</v>
      </c>
      <c r="D95">
        <v>7231426</v>
      </c>
      <c r="E95">
        <v>1</v>
      </c>
      <c r="F95">
        <v>1</v>
      </c>
      <c r="G95">
        <v>7157832</v>
      </c>
      <c r="H95">
        <v>2</v>
      </c>
      <c r="I95" t="s">
        <v>567</v>
      </c>
      <c r="J95" t="s">
        <v>568</v>
      </c>
      <c r="K95" t="s">
        <v>569</v>
      </c>
      <c r="L95">
        <v>1368</v>
      </c>
      <c r="N95">
        <v>1011</v>
      </c>
      <c r="O95" t="s">
        <v>205</v>
      </c>
      <c r="P95" t="s">
        <v>205</v>
      </c>
      <c r="Q95">
        <v>1</v>
      </c>
      <c r="Y95">
        <v>0.01</v>
      </c>
      <c r="AA95">
        <v>0</v>
      </c>
      <c r="AB95">
        <v>79.58</v>
      </c>
      <c r="AC95">
        <v>19.57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0.01</v>
      </c>
      <c r="AV95">
        <v>0</v>
      </c>
      <c r="AW95">
        <v>2</v>
      </c>
      <c r="AX95">
        <v>18916708</v>
      </c>
      <c r="AY95">
        <v>1</v>
      </c>
      <c r="AZ95">
        <v>0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ROW(Source!A29)</f>
        <v>29</v>
      </c>
      <c r="B1">
        <v>18916438</v>
      </c>
      <c r="C1">
        <v>18916434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487</v>
      </c>
      <c r="K1" t="s">
        <v>488</v>
      </c>
      <c r="L1">
        <v>1191</v>
      </c>
      <c r="N1">
        <v>1013</v>
      </c>
      <c r="O1" t="s">
        <v>489</v>
      </c>
      <c r="P1" t="s">
        <v>489</v>
      </c>
      <c r="Q1">
        <v>1</v>
      </c>
      <c r="X1">
        <v>8.27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8.27</v>
      </c>
      <c r="AH1">
        <v>2</v>
      </c>
      <c r="AI1">
        <v>18916435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ROW(Source!A29)</f>
        <v>29</v>
      </c>
      <c r="B2">
        <v>18916439</v>
      </c>
      <c r="C2">
        <v>18916434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490</v>
      </c>
      <c r="K2" t="s">
        <v>491</v>
      </c>
      <c r="L2">
        <v>1344</v>
      </c>
      <c r="N2">
        <v>1008</v>
      </c>
      <c r="O2" t="s">
        <v>492</v>
      </c>
      <c r="P2" t="s">
        <v>492</v>
      </c>
      <c r="Q2">
        <v>1</v>
      </c>
      <c r="X2">
        <v>87.32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G2">
        <v>87.32</v>
      </c>
      <c r="AH2">
        <v>2</v>
      </c>
      <c r="AI2">
        <v>18916436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18916440</v>
      </c>
      <c r="C3">
        <v>18916434</v>
      </c>
      <c r="D3">
        <v>7182702</v>
      </c>
      <c r="E3">
        <v>7157832</v>
      </c>
      <c r="F3">
        <v>1</v>
      </c>
      <c r="G3">
        <v>7157832</v>
      </c>
      <c r="H3">
        <v>3</v>
      </c>
      <c r="I3" t="s">
        <v>493</v>
      </c>
      <c r="K3" t="s">
        <v>494</v>
      </c>
      <c r="L3">
        <v>1348</v>
      </c>
      <c r="N3">
        <v>1009</v>
      </c>
      <c r="O3" t="s">
        <v>120</v>
      </c>
      <c r="P3" t="s">
        <v>120</v>
      </c>
      <c r="Q3">
        <v>1000</v>
      </c>
      <c r="X3">
        <v>2.4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2.4</v>
      </c>
      <c r="AH3">
        <v>2</v>
      </c>
      <c r="AI3">
        <v>18916437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ROW(Source!A30)</f>
        <v>30</v>
      </c>
      <c r="B4">
        <v>18916444</v>
      </c>
      <c r="C4">
        <v>18916441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487</v>
      </c>
      <c r="K4" t="s">
        <v>488</v>
      </c>
      <c r="L4">
        <v>1191</v>
      </c>
      <c r="N4">
        <v>1013</v>
      </c>
      <c r="O4" t="s">
        <v>489</v>
      </c>
      <c r="P4" t="s">
        <v>489</v>
      </c>
      <c r="Q4">
        <v>1</v>
      </c>
      <c r="X4">
        <v>1.03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G4">
        <v>1.03</v>
      </c>
      <c r="AH4">
        <v>2</v>
      </c>
      <c r="AI4">
        <v>18916442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18916445</v>
      </c>
      <c r="C5">
        <v>18916441</v>
      </c>
      <c r="D5">
        <v>7230811</v>
      </c>
      <c r="E5">
        <v>1</v>
      </c>
      <c r="F5">
        <v>1</v>
      </c>
      <c r="G5">
        <v>7157832</v>
      </c>
      <c r="H5">
        <v>2</v>
      </c>
      <c r="I5" t="s">
        <v>495</v>
      </c>
      <c r="J5" t="s">
        <v>496</v>
      </c>
      <c r="K5" t="s">
        <v>497</v>
      </c>
      <c r="L5">
        <v>1368</v>
      </c>
      <c r="N5">
        <v>1011</v>
      </c>
      <c r="O5" t="s">
        <v>205</v>
      </c>
      <c r="P5" t="s">
        <v>205</v>
      </c>
      <c r="Q5">
        <v>1</v>
      </c>
      <c r="X5">
        <v>0.5</v>
      </c>
      <c r="Y5">
        <v>0</v>
      </c>
      <c r="Z5">
        <v>102.11</v>
      </c>
      <c r="AA5">
        <v>30.03</v>
      </c>
      <c r="AB5">
        <v>0</v>
      </c>
      <c r="AC5">
        <v>0</v>
      </c>
      <c r="AD5">
        <v>1</v>
      </c>
      <c r="AE5">
        <v>0</v>
      </c>
      <c r="AG5">
        <v>0.5</v>
      </c>
      <c r="AH5">
        <v>2</v>
      </c>
      <c r="AI5">
        <v>18916443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ROW(Source!A31)</f>
        <v>31</v>
      </c>
      <c r="B6">
        <v>18916448</v>
      </c>
      <c r="C6">
        <v>18916446</v>
      </c>
      <c r="D6">
        <v>7182703</v>
      </c>
      <c r="E6">
        <v>7157832</v>
      </c>
      <c r="F6">
        <v>1</v>
      </c>
      <c r="G6">
        <v>7157832</v>
      </c>
      <c r="H6">
        <v>3</v>
      </c>
      <c r="I6" t="s">
        <v>493</v>
      </c>
      <c r="K6" t="s">
        <v>498</v>
      </c>
      <c r="L6">
        <v>1348</v>
      </c>
      <c r="N6">
        <v>1009</v>
      </c>
      <c r="O6" t="s">
        <v>120</v>
      </c>
      <c r="P6" t="s">
        <v>120</v>
      </c>
      <c r="Q6">
        <v>1000</v>
      </c>
      <c r="X6">
        <v>0.05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25</v>
      </c>
      <c r="AG6">
        <v>0</v>
      </c>
      <c r="AH6">
        <v>2</v>
      </c>
      <c r="AI6">
        <v>18916447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ROW(Source!A58)</f>
        <v>58</v>
      </c>
      <c r="B7">
        <v>18916456</v>
      </c>
      <c r="C7">
        <v>18916454</v>
      </c>
      <c r="D7">
        <v>7182703</v>
      </c>
      <c r="E7">
        <v>7157832</v>
      </c>
      <c r="F7">
        <v>1</v>
      </c>
      <c r="G7">
        <v>7157832</v>
      </c>
      <c r="H7">
        <v>3</v>
      </c>
      <c r="I7" t="s">
        <v>493</v>
      </c>
      <c r="K7" t="s">
        <v>498</v>
      </c>
      <c r="L7">
        <v>1348</v>
      </c>
      <c r="N7">
        <v>1009</v>
      </c>
      <c r="O7" t="s">
        <v>120</v>
      </c>
      <c r="P7" t="s">
        <v>120</v>
      </c>
      <c r="Q7">
        <v>1000</v>
      </c>
      <c r="X7">
        <v>0.119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0.119</v>
      </c>
      <c r="AH7">
        <v>2</v>
      </c>
      <c r="AI7">
        <v>18916455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ROW(Source!A59)</f>
        <v>59</v>
      </c>
      <c r="B8">
        <v>18916461</v>
      </c>
      <c r="C8">
        <v>18916457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487</v>
      </c>
      <c r="K8" t="s">
        <v>488</v>
      </c>
      <c r="L8">
        <v>1191</v>
      </c>
      <c r="N8">
        <v>1013</v>
      </c>
      <c r="O8" t="s">
        <v>489</v>
      </c>
      <c r="P8" t="s">
        <v>489</v>
      </c>
      <c r="Q8">
        <v>1</v>
      </c>
      <c r="X8">
        <v>3.63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G8">
        <v>3.63</v>
      </c>
      <c r="AH8">
        <v>2</v>
      </c>
      <c r="AI8">
        <v>18916458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ROW(Source!A59)</f>
        <v>59</v>
      </c>
      <c r="B9">
        <v>18916462</v>
      </c>
      <c r="C9">
        <v>18916457</v>
      </c>
      <c r="D9">
        <v>7159942</v>
      </c>
      <c r="E9">
        <v>7157832</v>
      </c>
      <c r="F9">
        <v>1</v>
      </c>
      <c r="G9">
        <v>7157832</v>
      </c>
      <c r="H9">
        <v>2</v>
      </c>
      <c r="I9" t="s">
        <v>490</v>
      </c>
      <c r="K9" t="s">
        <v>491</v>
      </c>
      <c r="L9">
        <v>1344</v>
      </c>
      <c r="N9">
        <v>1008</v>
      </c>
      <c r="O9" t="s">
        <v>492</v>
      </c>
      <c r="P9" t="s">
        <v>492</v>
      </c>
      <c r="Q9">
        <v>1</v>
      </c>
      <c r="X9">
        <v>7.72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0</v>
      </c>
      <c r="AG9">
        <v>7.72</v>
      </c>
      <c r="AH9">
        <v>2</v>
      </c>
      <c r="AI9">
        <v>18916459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ROW(Source!A59)</f>
        <v>59</v>
      </c>
      <c r="B10">
        <v>18916464</v>
      </c>
      <c r="C10">
        <v>18916457</v>
      </c>
      <c r="D10">
        <v>7182707</v>
      </c>
      <c r="E10">
        <v>7157832</v>
      </c>
      <c r="F10">
        <v>1</v>
      </c>
      <c r="G10">
        <v>7157832</v>
      </c>
      <c r="H10">
        <v>3</v>
      </c>
      <c r="I10" t="s">
        <v>493</v>
      </c>
      <c r="K10" t="s">
        <v>499</v>
      </c>
      <c r="L10">
        <v>1344</v>
      </c>
      <c r="N10">
        <v>1008</v>
      </c>
      <c r="O10" t="s">
        <v>492</v>
      </c>
      <c r="P10" t="s">
        <v>492</v>
      </c>
      <c r="Q10">
        <v>1</v>
      </c>
      <c r="X10">
        <v>2.66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2.66</v>
      </c>
      <c r="AH10">
        <v>2</v>
      </c>
      <c r="AI10">
        <v>18916460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ROW(Source!A59)</f>
        <v>59</v>
      </c>
      <c r="B11">
        <v>18916463</v>
      </c>
      <c r="C11">
        <v>18916457</v>
      </c>
      <c r="D11">
        <v>7172500</v>
      </c>
      <c r="E11">
        <v>7157832</v>
      </c>
      <c r="F11">
        <v>1</v>
      </c>
      <c r="G11">
        <v>7157832</v>
      </c>
      <c r="H11">
        <v>3</v>
      </c>
      <c r="I11" t="s">
        <v>584</v>
      </c>
      <c r="K11" t="s">
        <v>585</v>
      </c>
      <c r="L11">
        <v>1354</v>
      </c>
      <c r="N11">
        <v>1010</v>
      </c>
      <c r="O11" t="s">
        <v>22</v>
      </c>
      <c r="P11" t="s">
        <v>22</v>
      </c>
      <c r="Q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>
        <v>1</v>
      </c>
      <c r="AH11">
        <v>3</v>
      </c>
      <c r="AI11">
        <v>-1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ROW(Source!A60)</f>
        <v>60</v>
      </c>
      <c r="B12">
        <v>18916468</v>
      </c>
      <c r="C12">
        <v>18916465</v>
      </c>
      <c r="D12">
        <v>7157835</v>
      </c>
      <c r="E12">
        <v>7157832</v>
      </c>
      <c r="F12">
        <v>1</v>
      </c>
      <c r="G12">
        <v>7157832</v>
      </c>
      <c r="H12">
        <v>1</v>
      </c>
      <c r="I12" t="s">
        <v>487</v>
      </c>
      <c r="K12" t="s">
        <v>488</v>
      </c>
      <c r="L12">
        <v>1191</v>
      </c>
      <c r="N12">
        <v>1013</v>
      </c>
      <c r="O12" t="s">
        <v>489</v>
      </c>
      <c r="P12" t="s">
        <v>489</v>
      </c>
      <c r="Q12">
        <v>1</v>
      </c>
      <c r="X12">
        <v>4.4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G12">
        <v>4.4</v>
      </c>
      <c r="AH12">
        <v>2</v>
      </c>
      <c r="AI12">
        <v>18916466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ROW(Source!A60)</f>
        <v>60</v>
      </c>
      <c r="B13">
        <v>18916469</v>
      </c>
      <c r="C13">
        <v>18916465</v>
      </c>
      <c r="D13">
        <v>7159942</v>
      </c>
      <c r="E13">
        <v>7157832</v>
      </c>
      <c r="F13">
        <v>1</v>
      </c>
      <c r="G13">
        <v>7157832</v>
      </c>
      <c r="H13">
        <v>2</v>
      </c>
      <c r="I13" t="s">
        <v>490</v>
      </c>
      <c r="K13" t="s">
        <v>491</v>
      </c>
      <c r="L13">
        <v>1344</v>
      </c>
      <c r="N13">
        <v>1008</v>
      </c>
      <c r="O13" t="s">
        <v>492</v>
      </c>
      <c r="P13" t="s">
        <v>492</v>
      </c>
      <c r="Q13">
        <v>1</v>
      </c>
      <c r="X13">
        <v>5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5</v>
      </c>
      <c r="AH13">
        <v>2</v>
      </c>
      <c r="AI13">
        <v>18916467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ROW(Source!A75)</f>
        <v>75</v>
      </c>
      <c r="B14">
        <v>18916486</v>
      </c>
      <c r="C14">
        <v>18916484</v>
      </c>
      <c r="D14">
        <v>7182703</v>
      </c>
      <c r="E14">
        <v>7157832</v>
      </c>
      <c r="F14">
        <v>1</v>
      </c>
      <c r="G14">
        <v>7157832</v>
      </c>
      <c r="H14">
        <v>3</v>
      </c>
      <c r="I14" t="s">
        <v>493</v>
      </c>
      <c r="K14" t="s">
        <v>498</v>
      </c>
      <c r="L14">
        <v>1348</v>
      </c>
      <c r="N14">
        <v>1009</v>
      </c>
      <c r="O14" t="s">
        <v>120</v>
      </c>
      <c r="P14" t="s">
        <v>120</v>
      </c>
      <c r="Q14">
        <v>1000</v>
      </c>
      <c r="X14">
        <v>0.05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0.05</v>
      </c>
      <c r="AH14">
        <v>2</v>
      </c>
      <c r="AI14">
        <v>18916485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ROW(Source!A159)</f>
        <v>159</v>
      </c>
      <c r="B15">
        <v>18916511</v>
      </c>
      <c r="C15">
        <v>18916507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487</v>
      </c>
      <c r="K15" t="s">
        <v>488</v>
      </c>
      <c r="L15">
        <v>1191</v>
      </c>
      <c r="N15">
        <v>1013</v>
      </c>
      <c r="O15" t="s">
        <v>489</v>
      </c>
      <c r="P15" t="s">
        <v>489</v>
      </c>
      <c r="Q15">
        <v>1</v>
      </c>
      <c r="X15">
        <v>23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F15" t="s">
        <v>294</v>
      </c>
      <c r="AG15">
        <v>26.45</v>
      </c>
      <c r="AH15">
        <v>2</v>
      </c>
      <c r="AI15">
        <v>18916508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ROW(Source!A159)</f>
        <v>159</v>
      </c>
      <c r="B16">
        <v>18916512</v>
      </c>
      <c r="C16">
        <v>18916507</v>
      </c>
      <c r="D16">
        <v>7231013</v>
      </c>
      <c r="E16">
        <v>1</v>
      </c>
      <c r="F16">
        <v>1</v>
      </c>
      <c r="G16">
        <v>7157832</v>
      </c>
      <c r="H16">
        <v>2</v>
      </c>
      <c r="I16" t="s">
        <v>500</v>
      </c>
      <c r="J16" t="s">
        <v>501</v>
      </c>
      <c r="K16" t="s">
        <v>502</v>
      </c>
      <c r="L16">
        <v>1368</v>
      </c>
      <c r="N16">
        <v>1011</v>
      </c>
      <c r="O16" t="s">
        <v>205</v>
      </c>
      <c r="P16" t="s">
        <v>205</v>
      </c>
      <c r="Q16">
        <v>1</v>
      </c>
      <c r="X16">
        <v>7.33</v>
      </c>
      <c r="Y16">
        <v>0</v>
      </c>
      <c r="Z16">
        <v>283.63</v>
      </c>
      <c r="AA16">
        <v>45.16</v>
      </c>
      <c r="AB16">
        <v>0</v>
      </c>
      <c r="AC16">
        <v>0</v>
      </c>
      <c r="AD16">
        <v>1</v>
      </c>
      <c r="AE16">
        <v>0</v>
      </c>
      <c r="AF16" t="s">
        <v>294</v>
      </c>
      <c r="AG16">
        <v>8.429499999999999</v>
      </c>
      <c r="AH16">
        <v>2</v>
      </c>
      <c r="AI16">
        <v>18916509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ROW(Source!A159)</f>
        <v>159</v>
      </c>
      <c r="B17">
        <v>18916513</v>
      </c>
      <c r="C17">
        <v>18916507</v>
      </c>
      <c r="D17">
        <v>7170864</v>
      </c>
      <c r="E17">
        <v>7157832</v>
      </c>
      <c r="F17">
        <v>1</v>
      </c>
      <c r="G17">
        <v>7157832</v>
      </c>
      <c r="H17">
        <v>3</v>
      </c>
      <c r="I17" t="s">
        <v>586</v>
      </c>
      <c r="K17" t="s">
        <v>587</v>
      </c>
      <c r="L17">
        <v>1354</v>
      </c>
      <c r="N17">
        <v>1010</v>
      </c>
      <c r="O17" t="s">
        <v>22</v>
      </c>
      <c r="P17" t="s">
        <v>22</v>
      </c>
      <c r="Q17">
        <v>1</v>
      </c>
      <c r="X17">
        <v>0.9235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v>0.9235</v>
      </c>
      <c r="AH17">
        <v>3</v>
      </c>
      <c r="AI17">
        <v>-1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ROW(Source!A161)</f>
        <v>161</v>
      </c>
      <c r="B18">
        <v>18916521</v>
      </c>
      <c r="C18">
        <v>18916515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487</v>
      </c>
      <c r="K18" t="s">
        <v>488</v>
      </c>
      <c r="L18">
        <v>1191</v>
      </c>
      <c r="N18">
        <v>1013</v>
      </c>
      <c r="O18" t="s">
        <v>489</v>
      </c>
      <c r="P18" t="s">
        <v>489</v>
      </c>
      <c r="Q18">
        <v>1</v>
      </c>
      <c r="X18">
        <v>155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G18">
        <v>155</v>
      </c>
      <c r="AH18">
        <v>2</v>
      </c>
      <c r="AI18">
        <v>18916516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ROW(Source!A161)</f>
        <v>161</v>
      </c>
      <c r="B19">
        <v>18916525</v>
      </c>
      <c r="C19">
        <v>18916515</v>
      </c>
      <c r="D19">
        <v>7159942</v>
      </c>
      <c r="E19">
        <v>7157832</v>
      </c>
      <c r="F19">
        <v>1</v>
      </c>
      <c r="G19">
        <v>7157832</v>
      </c>
      <c r="H19">
        <v>2</v>
      </c>
      <c r="I19" t="s">
        <v>490</v>
      </c>
      <c r="K19" t="s">
        <v>491</v>
      </c>
      <c r="L19">
        <v>1344</v>
      </c>
      <c r="N19">
        <v>1008</v>
      </c>
      <c r="O19" t="s">
        <v>492</v>
      </c>
      <c r="P19" t="s">
        <v>492</v>
      </c>
      <c r="Q19">
        <v>1</v>
      </c>
      <c r="X19">
        <v>3.72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3.72</v>
      </c>
      <c r="AH19">
        <v>2</v>
      </c>
      <c r="AI19">
        <v>18916520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ROW(Source!A161)</f>
        <v>161</v>
      </c>
      <c r="B20">
        <v>18916522</v>
      </c>
      <c r="C20">
        <v>18916515</v>
      </c>
      <c r="D20">
        <v>7231127</v>
      </c>
      <c r="E20">
        <v>1</v>
      </c>
      <c r="F20">
        <v>1</v>
      </c>
      <c r="G20">
        <v>7157832</v>
      </c>
      <c r="H20">
        <v>2</v>
      </c>
      <c r="I20" t="s">
        <v>503</v>
      </c>
      <c r="J20" t="s">
        <v>504</v>
      </c>
      <c r="K20" t="s">
        <v>505</v>
      </c>
      <c r="L20">
        <v>1368</v>
      </c>
      <c r="N20">
        <v>1011</v>
      </c>
      <c r="O20" t="s">
        <v>205</v>
      </c>
      <c r="P20" t="s">
        <v>205</v>
      </c>
      <c r="Q20">
        <v>1</v>
      </c>
      <c r="X20">
        <v>37.5</v>
      </c>
      <c r="Y20">
        <v>0</v>
      </c>
      <c r="Z20">
        <v>60.77</v>
      </c>
      <c r="AA20">
        <v>18.48</v>
      </c>
      <c r="AB20">
        <v>0</v>
      </c>
      <c r="AC20">
        <v>0</v>
      </c>
      <c r="AD20">
        <v>1</v>
      </c>
      <c r="AE20">
        <v>0</v>
      </c>
      <c r="AG20">
        <v>37.5</v>
      </c>
      <c r="AH20">
        <v>2</v>
      </c>
      <c r="AI20">
        <v>18916517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ROW(Source!A161)</f>
        <v>161</v>
      </c>
      <c r="B21">
        <v>18916523</v>
      </c>
      <c r="C21">
        <v>18916515</v>
      </c>
      <c r="D21">
        <v>7231489</v>
      </c>
      <c r="E21">
        <v>1</v>
      </c>
      <c r="F21">
        <v>1</v>
      </c>
      <c r="G21">
        <v>7157832</v>
      </c>
      <c r="H21">
        <v>2</v>
      </c>
      <c r="I21" t="s">
        <v>506</v>
      </c>
      <c r="J21" t="s">
        <v>507</v>
      </c>
      <c r="K21" t="s">
        <v>508</v>
      </c>
      <c r="L21">
        <v>1368</v>
      </c>
      <c r="N21">
        <v>1011</v>
      </c>
      <c r="O21" t="s">
        <v>205</v>
      </c>
      <c r="P21" t="s">
        <v>205</v>
      </c>
      <c r="Q21">
        <v>1</v>
      </c>
      <c r="X21">
        <v>75</v>
      </c>
      <c r="Y21">
        <v>0</v>
      </c>
      <c r="Z21">
        <v>3.16</v>
      </c>
      <c r="AA21">
        <v>0.04</v>
      </c>
      <c r="AB21">
        <v>0</v>
      </c>
      <c r="AC21">
        <v>0</v>
      </c>
      <c r="AD21">
        <v>1</v>
      </c>
      <c r="AE21">
        <v>0</v>
      </c>
      <c r="AG21">
        <v>75</v>
      </c>
      <c r="AH21">
        <v>2</v>
      </c>
      <c r="AI21">
        <v>18916518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ROW(Source!A161)</f>
        <v>161</v>
      </c>
      <c r="B22">
        <v>18916524</v>
      </c>
      <c r="C22">
        <v>18916515</v>
      </c>
      <c r="D22">
        <v>7231005</v>
      </c>
      <c r="E22">
        <v>1</v>
      </c>
      <c r="F22">
        <v>1</v>
      </c>
      <c r="G22">
        <v>7157832</v>
      </c>
      <c r="H22">
        <v>2</v>
      </c>
      <c r="I22" t="s">
        <v>509</v>
      </c>
      <c r="J22" t="s">
        <v>510</v>
      </c>
      <c r="K22" t="s">
        <v>511</v>
      </c>
      <c r="L22">
        <v>1368</v>
      </c>
      <c r="N22">
        <v>1011</v>
      </c>
      <c r="O22" t="s">
        <v>205</v>
      </c>
      <c r="P22" t="s">
        <v>205</v>
      </c>
      <c r="Q22">
        <v>1</v>
      </c>
      <c r="X22">
        <v>1.55</v>
      </c>
      <c r="Y22">
        <v>0</v>
      </c>
      <c r="Z22">
        <v>125.13</v>
      </c>
      <c r="AA22">
        <v>24.74</v>
      </c>
      <c r="AB22">
        <v>0</v>
      </c>
      <c r="AC22">
        <v>0</v>
      </c>
      <c r="AD22">
        <v>1</v>
      </c>
      <c r="AE22">
        <v>0</v>
      </c>
      <c r="AG22">
        <v>1.55</v>
      </c>
      <c r="AH22">
        <v>2</v>
      </c>
      <c r="AI22">
        <v>18916519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ROW(Source!A162)</f>
        <v>162</v>
      </c>
      <c r="B23">
        <v>18916531</v>
      </c>
      <c r="C23">
        <v>18916526</v>
      </c>
      <c r="D23">
        <v>7157835</v>
      </c>
      <c r="E23">
        <v>7157832</v>
      </c>
      <c r="F23">
        <v>1</v>
      </c>
      <c r="G23">
        <v>7157832</v>
      </c>
      <c r="H23">
        <v>1</v>
      </c>
      <c r="I23" t="s">
        <v>487</v>
      </c>
      <c r="K23" t="s">
        <v>488</v>
      </c>
      <c r="L23">
        <v>1191</v>
      </c>
      <c r="N23">
        <v>1013</v>
      </c>
      <c r="O23" t="s">
        <v>489</v>
      </c>
      <c r="P23" t="s">
        <v>489</v>
      </c>
      <c r="Q23">
        <v>1</v>
      </c>
      <c r="X23">
        <v>49.5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G23">
        <v>49.5</v>
      </c>
      <c r="AH23">
        <v>2</v>
      </c>
      <c r="AI23">
        <v>18916527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ROW(Source!A162)</f>
        <v>162</v>
      </c>
      <c r="B24">
        <v>18916534</v>
      </c>
      <c r="C24">
        <v>18916526</v>
      </c>
      <c r="D24">
        <v>7159942</v>
      </c>
      <c r="E24">
        <v>7157832</v>
      </c>
      <c r="F24">
        <v>1</v>
      </c>
      <c r="G24">
        <v>7157832</v>
      </c>
      <c r="H24">
        <v>2</v>
      </c>
      <c r="I24" t="s">
        <v>490</v>
      </c>
      <c r="K24" t="s">
        <v>491</v>
      </c>
      <c r="L24">
        <v>1344</v>
      </c>
      <c r="N24">
        <v>1008</v>
      </c>
      <c r="O24" t="s">
        <v>492</v>
      </c>
      <c r="P24" t="s">
        <v>492</v>
      </c>
      <c r="Q24">
        <v>1</v>
      </c>
      <c r="X24">
        <v>5.21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5.21</v>
      </c>
      <c r="AH24">
        <v>2</v>
      </c>
      <c r="AI24">
        <v>18916530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ROW(Source!A162)</f>
        <v>162</v>
      </c>
      <c r="B25">
        <v>18916532</v>
      </c>
      <c r="C25">
        <v>18916526</v>
      </c>
      <c r="D25">
        <v>7230749</v>
      </c>
      <c r="E25">
        <v>1</v>
      </c>
      <c r="F25">
        <v>1</v>
      </c>
      <c r="G25">
        <v>7157832</v>
      </c>
      <c r="H25">
        <v>2</v>
      </c>
      <c r="I25" t="s">
        <v>512</v>
      </c>
      <c r="J25" t="s">
        <v>513</v>
      </c>
      <c r="K25" t="s">
        <v>514</v>
      </c>
      <c r="L25">
        <v>1368</v>
      </c>
      <c r="N25">
        <v>1011</v>
      </c>
      <c r="O25" t="s">
        <v>205</v>
      </c>
      <c r="P25" t="s">
        <v>205</v>
      </c>
      <c r="Q25">
        <v>1</v>
      </c>
      <c r="X25">
        <v>2.87</v>
      </c>
      <c r="Y25">
        <v>0</v>
      </c>
      <c r="Z25">
        <v>95.06</v>
      </c>
      <c r="AA25">
        <v>22.22</v>
      </c>
      <c r="AB25">
        <v>0</v>
      </c>
      <c r="AC25">
        <v>0</v>
      </c>
      <c r="AD25">
        <v>1</v>
      </c>
      <c r="AE25">
        <v>0</v>
      </c>
      <c r="AG25">
        <v>2.87</v>
      </c>
      <c r="AH25">
        <v>2</v>
      </c>
      <c r="AI25">
        <v>18916528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ROW(Source!A162)</f>
        <v>162</v>
      </c>
      <c r="B26">
        <v>18916533</v>
      </c>
      <c r="C26">
        <v>18916526</v>
      </c>
      <c r="D26">
        <v>7230726</v>
      </c>
      <c r="E26">
        <v>1</v>
      </c>
      <c r="F26">
        <v>1</v>
      </c>
      <c r="G26">
        <v>7157832</v>
      </c>
      <c r="H26">
        <v>2</v>
      </c>
      <c r="I26" t="s">
        <v>515</v>
      </c>
      <c r="J26" t="s">
        <v>516</v>
      </c>
      <c r="K26" t="s">
        <v>517</v>
      </c>
      <c r="L26">
        <v>1368</v>
      </c>
      <c r="N26">
        <v>1011</v>
      </c>
      <c r="O26" t="s">
        <v>205</v>
      </c>
      <c r="P26" t="s">
        <v>205</v>
      </c>
      <c r="Q26">
        <v>1</v>
      </c>
      <c r="X26">
        <v>7.86</v>
      </c>
      <c r="Y26">
        <v>0</v>
      </c>
      <c r="Z26">
        <v>164.9</v>
      </c>
      <c r="AA26">
        <v>27.47</v>
      </c>
      <c r="AB26">
        <v>0</v>
      </c>
      <c r="AC26">
        <v>0</v>
      </c>
      <c r="AD26">
        <v>1</v>
      </c>
      <c r="AE26">
        <v>0</v>
      </c>
      <c r="AG26">
        <v>7.86</v>
      </c>
      <c r="AH26">
        <v>2</v>
      </c>
      <c r="AI26">
        <v>18916529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ROW(Source!A163)</f>
        <v>163</v>
      </c>
      <c r="B27">
        <v>18916537</v>
      </c>
      <c r="C27">
        <v>18916535</v>
      </c>
      <c r="D27">
        <v>7157835</v>
      </c>
      <c r="E27">
        <v>7157832</v>
      </c>
      <c r="F27">
        <v>1</v>
      </c>
      <c r="G27">
        <v>7157832</v>
      </c>
      <c r="H27">
        <v>1</v>
      </c>
      <c r="I27" t="s">
        <v>487</v>
      </c>
      <c r="K27" t="s">
        <v>488</v>
      </c>
      <c r="L27">
        <v>1191</v>
      </c>
      <c r="N27">
        <v>1013</v>
      </c>
      <c r="O27" t="s">
        <v>489</v>
      </c>
      <c r="P27" t="s">
        <v>489</v>
      </c>
      <c r="Q27">
        <v>1</v>
      </c>
      <c r="X27">
        <v>192.7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294</v>
      </c>
      <c r="AG27">
        <v>221.60499999999996</v>
      </c>
      <c r="AH27">
        <v>2</v>
      </c>
      <c r="AI27">
        <v>18916536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ROW(Source!A164)</f>
        <v>164</v>
      </c>
      <c r="B28">
        <v>18916540</v>
      </c>
      <c r="C28">
        <v>18916538</v>
      </c>
      <c r="D28">
        <v>7157835</v>
      </c>
      <c r="E28">
        <v>7157832</v>
      </c>
      <c r="F28">
        <v>1</v>
      </c>
      <c r="G28">
        <v>7157832</v>
      </c>
      <c r="H28">
        <v>1</v>
      </c>
      <c r="I28" t="s">
        <v>487</v>
      </c>
      <c r="K28" t="s">
        <v>488</v>
      </c>
      <c r="L28">
        <v>1191</v>
      </c>
      <c r="N28">
        <v>1013</v>
      </c>
      <c r="O28" t="s">
        <v>489</v>
      </c>
      <c r="P28" t="s">
        <v>489</v>
      </c>
      <c r="Q28">
        <v>1</v>
      </c>
      <c r="X28">
        <v>107.04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294</v>
      </c>
      <c r="AG28">
        <v>123.096</v>
      </c>
      <c r="AH28">
        <v>2</v>
      </c>
      <c r="AI28">
        <v>18916539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ROW(Source!A165)</f>
        <v>165</v>
      </c>
      <c r="B29">
        <v>18916543</v>
      </c>
      <c r="C29">
        <v>18916541</v>
      </c>
      <c r="D29">
        <v>7157835</v>
      </c>
      <c r="E29">
        <v>7157832</v>
      </c>
      <c r="F29">
        <v>1</v>
      </c>
      <c r="G29">
        <v>7157832</v>
      </c>
      <c r="H29">
        <v>1</v>
      </c>
      <c r="I29" t="s">
        <v>487</v>
      </c>
      <c r="K29" t="s">
        <v>488</v>
      </c>
      <c r="L29">
        <v>1191</v>
      </c>
      <c r="N29">
        <v>1013</v>
      </c>
      <c r="O29" t="s">
        <v>489</v>
      </c>
      <c r="P29" t="s">
        <v>489</v>
      </c>
      <c r="Q29">
        <v>1</v>
      </c>
      <c r="X29">
        <v>83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G29">
        <v>83</v>
      </c>
      <c r="AH29">
        <v>2</v>
      </c>
      <c r="AI29">
        <v>18916542</v>
      </c>
      <c r="AJ29">
        <v>28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ROW(Source!A168)</f>
        <v>168</v>
      </c>
      <c r="B30">
        <v>18916548</v>
      </c>
      <c r="C30">
        <v>18916546</v>
      </c>
      <c r="D30">
        <v>7159942</v>
      </c>
      <c r="E30">
        <v>7157832</v>
      </c>
      <c r="F30">
        <v>1</v>
      </c>
      <c r="G30">
        <v>7157832</v>
      </c>
      <c r="H30">
        <v>2</v>
      </c>
      <c r="I30" t="s">
        <v>490</v>
      </c>
      <c r="K30" t="s">
        <v>491</v>
      </c>
      <c r="L30">
        <v>1344</v>
      </c>
      <c r="N30">
        <v>1008</v>
      </c>
      <c r="O30" t="s">
        <v>492</v>
      </c>
      <c r="P30" t="s">
        <v>492</v>
      </c>
      <c r="Q30">
        <v>1</v>
      </c>
      <c r="X30">
        <v>8.86</v>
      </c>
      <c r="Y30">
        <v>0</v>
      </c>
      <c r="Z30">
        <v>1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8.86</v>
      </c>
      <c r="AH30">
        <v>2</v>
      </c>
      <c r="AI30">
        <v>18916547</v>
      </c>
      <c r="AJ30">
        <v>29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ROW(Source!A171)</f>
        <v>171</v>
      </c>
      <c r="B31">
        <v>18916560</v>
      </c>
      <c r="C31">
        <v>18916551</v>
      </c>
      <c r="D31">
        <v>7157835</v>
      </c>
      <c r="E31">
        <v>7157832</v>
      </c>
      <c r="F31">
        <v>1</v>
      </c>
      <c r="G31">
        <v>7157832</v>
      </c>
      <c r="H31">
        <v>1</v>
      </c>
      <c r="I31" t="s">
        <v>487</v>
      </c>
      <c r="K31" t="s">
        <v>488</v>
      </c>
      <c r="L31">
        <v>1191</v>
      </c>
      <c r="N31">
        <v>1013</v>
      </c>
      <c r="O31" t="s">
        <v>489</v>
      </c>
      <c r="P31" t="s">
        <v>489</v>
      </c>
      <c r="Q31">
        <v>1</v>
      </c>
      <c r="X31">
        <v>14.4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 t="s">
        <v>294</v>
      </c>
      <c r="AG31">
        <v>16.56</v>
      </c>
      <c r="AH31">
        <v>2</v>
      </c>
      <c r="AI31">
        <v>18916552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ROW(Source!A171)</f>
        <v>171</v>
      </c>
      <c r="B32">
        <v>18916561</v>
      </c>
      <c r="C32">
        <v>18916551</v>
      </c>
      <c r="D32">
        <v>7230769</v>
      </c>
      <c r="E32">
        <v>1</v>
      </c>
      <c r="F32">
        <v>1</v>
      </c>
      <c r="G32">
        <v>7157832</v>
      </c>
      <c r="H32">
        <v>2</v>
      </c>
      <c r="I32" t="s">
        <v>518</v>
      </c>
      <c r="J32" t="s">
        <v>519</v>
      </c>
      <c r="K32" t="s">
        <v>520</v>
      </c>
      <c r="L32">
        <v>1368</v>
      </c>
      <c r="N32">
        <v>1011</v>
      </c>
      <c r="O32" t="s">
        <v>205</v>
      </c>
      <c r="P32" t="s">
        <v>205</v>
      </c>
      <c r="Q32">
        <v>1</v>
      </c>
      <c r="X32">
        <v>1.66</v>
      </c>
      <c r="Y32">
        <v>0</v>
      </c>
      <c r="Z32">
        <v>116.89</v>
      </c>
      <c r="AA32">
        <v>23.41</v>
      </c>
      <c r="AB32">
        <v>0</v>
      </c>
      <c r="AC32">
        <v>0</v>
      </c>
      <c r="AD32">
        <v>1</v>
      </c>
      <c r="AE32">
        <v>0</v>
      </c>
      <c r="AF32" t="s">
        <v>294</v>
      </c>
      <c r="AG32">
        <v>1.9089999999999998</v>
      </c>
      <c r="AH32">
        <v>2</v>
      </c>
      <c r="AI32">
        <v>18916553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ROW(Source!A171)</f>
        <v>171</v>
      </c>
      <c r="B33">
        <v>18916562</v>
      </c>
      <c r="C33">
        <v>18916551</v>
      </c>
      <c r="D33">
        <v>7230974</v>
      </c>
      <c r="E33">
        <v>1</v>
      </c>
      <c r="F33">
        <v>1</v>
      </c>
      <c r="G33">
        <v>7157832</v>
      </c>
      <c r="H33">
        <v>2</v>
      </c>
      <c r="I33" t="s">
        <v>521</v>
      </c>
      <c r="J33" t="s">
        <v>522</v>
      </c>
      <c r="K33" t="s">
        <v>523</v>
      </c>
      <c r="L33">
        <v>1368</v>
      </c>
      <c r="N33">
        <v>1011</v>
      </c>
      <c r="O33" t="s">
        <v>205</v>
      </c>
      <c r="P33" t="s">
        <v>205</v>
      </c>
      <c r="Q33">
        <v>1</v>
      </c>
      <c r="X33">
        <v>1.66</v>
      </c>
      <c r="Y33">
        <v>0</v>
      </c>
      <c r="Z33">
        <v>62.97</v>
      </c>
      <c r="AA33">
        <v>6.64</v>
      </c>
      <c r="AB33">
        <v>0</v>
      </c>
      <c r="AC33">
        <v>0</v>
      </c>
      <c r="AD33">
        <v>1</v>
      </c>
      <c r="AE33">
        <v>0</v>
      </c>
      <c r="AF33" t="s">
        <v>294</v>
      </c>
      <c r="AG33">
        <v>1.9089999999999998</v>
      </c>
      <c r="AH33">
        <v>2</v>
      </c>
      <c r="AI33">
        <v>18916554</v>
      </c>
      <c r="AJ33">
        <v>32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ROW(Source!A171)</f>
        <v>171</v>
      </c>
      <c r="B34">
        <v>18916563</v>
      </c>
      <c r="C34">
        <v>18916551</v>
      </c>
      <c r="D34">
        <v>7230977</v>
      </c>
      <c r="E34">
        <v>1</v>
      </c>
      <c r="F34">
        <v>1</v>
      </c>
      <c r="G34">
        <v>7157832</v>
      </c>
      <c r="H34">
        <v>2</v>
      </c>
      <c r="I34" t="s">
        <v>524</v>
      </c>
      <c r="J34" t="s">
        <v>525</v>
      </c>
      <c r="K34" t="s">
        <v>526</v>
      </c>
      <c r="L34">
        <v>1368</v>
      </c>
      <c r="N34">
        <v>1011</v>
      </c>
      <c r="O34" t="s">
        <v>205</v>
      </c>
      <c r="P34" t="s">
        <v>205</v>
      </c>
      <c r="Q34">
        <v>1</v>
      </c>
      <c r="X34">
        <v>0.65</v>
      </c>
      <c r="Y34">
        <v>0</v>
      </c>
      <c r="Z34">
        <v>140.58</v>
      </c>
      <c r="AA34">
        <v>28.61</v>
      </c>
      <c r="AB34">
        <v>0</v>
      </c>
      <c r="AC34">
        <v>0</v>
      </c>
      <c r="AD34">
        <v>1</v>
      </c>
      <c r="AE34">
        <v>0</v>
      </c>
      <c r="AF34" t="s">
        <v>294</v>
      </c>
      <c r="AG34">
        <v>0.7474999999999999</v>
      </c>
      <c r="AH34">
        <v>2</v>
      </c>
      <c r="AI34">
        <v>18916555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ROW(Source!A171)</f>
        <v>171</v>
      </c>
      <c r="B35">
        <v>18916564</v>
      </c>
      <c r="C35">
        <v>18916551</v>
      </c>
      <c r="D35">
        <v>7231005</v>
      </c>
      <c r="E35">
        <v>1</v>
      </c>
      <c r="F35">
        <v>1</v>
      </c>
      <c r="G35">
        <v>7157832</v>
      </c>
      <c r="H35">
        <v>2</v>
      </c>
      <c r="I35" t="s">
        <v>509</v>
      </c>
      <c r="J35" t="s">
        <v>510</v>
      </c>
      <c r="K35" t="s">
        <v>511</v>
      </c>
      <c r="L35">
        <v>1368</v>
      </c>
      <c r="N35">
        <v>1011</v>
      </c>
      <c r="O35" t="s">
        <v>205</v>
      </c>
      <c r="P35" t="s">
        <v>205</v>
      </c>
      <c r="Q35">
        <v>1</v>
      </c>
      <c r="X35">
        <v>1.55</v>
      </c>
      <c r="Y35">
        <v>0</v>
      </c>
      <c r="Z35">
        <v>125.13</v>
      </c>
      <c r="AA35">
        <v>24.74</v>
      </c>
      <c r="AB35">
        <v>0</v>
      </c>
      <c r="AC35">
        <v>0</v>
      </c>
      <c r="AD35">
        <v>1</v>
      </c>
      <c r="AE35">
        <v>0</v>
      </c>
      <c r="AF35" t="s">
        <v>294</v>
      </c>
      <c r="AG35">
        <v>1.7825</v>
      </c>
      <c r="AH35">
        <v>2</v>
      </c>
      <c r="AI35">
        <v>18916556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ROW(Source!A171)</f>
        <v>171</v>
      </c>
      <c r="B36">
        <v>18916565</v>
      </c>
      <c r="C36">
        <v>18916551</v>
      </c>
      <c r="D36">
        <v>7230967</v>
      </c>
      <c r="E36">
        <v>1</v>
      </c>
      <c r="F36">
        <v>1</v>
      </c>
      <c r="G36">
        <v>7157832</v>
      </c>
      <c r="H36">
        <v>2</v>
      </c>
      <c r="I36" t="s">
        <v>527</v>
      </c>
      <c r="J36" t="s">
        <v>528</v>
      </c>
      <c r="K36" t="s">
        <v>529</v>
      </c>
      <c r="L36">
        <v>1368</v>
      </c>
      <c r="N36">
        <v>1011</v>
      </c>
      <c r="O36" t="s">
        <v>205</v>
      </c>
      <c r="P36" t="s">
        <v>205</v>
      </c>
      <c r="Q36">
        <v>1</v>
      </c>
      <c r="X36">
        <v>0.52</v>
      </c>
      <c r="Y36">
        <v>0</v>
      </c>
      <c r="Z36">
        <v>178.02</v>
      </c>
      <c r="AA36">
        <v>23.5</v>
      </c>
      <c r="AB36">
        <v>0</v>
      </c>
      <c r="AC36">
        <v>0</v>
      </c>
      <c r="AD36">
        <v>1</v>
      </c>
      <c r="AE36">
        <v>0</v>
      </c>
      <c r="AF36" t="s">
        <v>294</v>
      </c>
      <c r="AG36">
        <v>0.598</v>
      </c>
      <c r="AH36">
        <v>2</v>
      </c>
      <c r="AI36">
        <v>18916557</v>
      </c>
      <c r="AJ36">
        <v>35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ROW(Source!A171)</f>
        <v>171</v>
      </c>
      <c r="B37">
        <v>18916566</v>
      </c>
      <c r="C37">
        <v>18916551</v>
      </c>
      <c r="D37">
        <v>7231827</v>
      </c>
      <c r="E37">
        <v>1</v>
      </c>
      <c r="F37">
        <v>1</v>
      </c>
      <c r="G37">
        <v>7157832</v>
      </c>
      <c r="H37">
        <v>3</v>
      </c>
      <c r="I37" t="s">
        <v>530</v>
      </c>
      <c r="J37" t="s">
        <v>531</v>
      </c>
      <c r="K37" t="s">
        <v>532</v>
      </c>
      <c r="L37">
        <v>1339</v>
      </c>
      <c r="N37">
        <v>1007</v>
      </c>
      <c r="O37" t="s">
        <v>34</v>
      </c>
      <c r="P37" t="s">
        <v>34</v>
      </c>
      <c r="Q37">
        <v>1</v>
      </c>
      <c r="X37">
        <v>5</v>
      </c>
      <c r="Y37">
        <v>7.07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5</v>
      </c>
      <c r="AH37">
        <v>2</v>
      </c>
      <c r="AI37">
        <v>18916558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ROW(Source!A171)</f>
        <v>171</v>
      </c>
      <c r="B38">
        <v>18916567</v>
      </c>
      <c r="C38">
        <v>18916551</v>
      </c>
      <c r="D38">
        <v>7177504</v>
      </c>
      <c r="E38">
        <v>7157832</v>
      </c>
      <c r="F38">
        <v>1</v>
      </c>
      <c r="G38">
        <v>7157832</v>
      </c>
      <c r="H38">
        <v>3</v>
      </c>
      <c r="I38" t="s">
        <v>588</v>
      </c>
      <c r="K38" t="s">
        <v>589</v>
      </c>
      <c r="L38">
        <v>1339</v>
      </c>
      <c r="N38">
        <v>1007</v>
      </c>
      <c r="O38" t="s">
        <v>34</v>
      </c>
      <c r="P38" t="s">
        <v>34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v>0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ROW(Source!A173)</f>
        <v>173</v>
      </c>
      <c r="B39">
        <v>18916580</v>
      </c>
      <c r="C39">
        <v>18916569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487</v>
      </c>
      <c r="K39" t="s">
        <v>488</v>
      </c>
      <c r="L39">
        <v>1191</v>
      </c>
      <c r="N39">
        <v>1013</v>
      </c>
      <c r="O39" t="s">
        <v>489</v>
      </c>
      <c r="P39" t="s">
        <v>489</v>
      </c>
      <c r="Q39">
        <v>1</v>
      </c>
      <c r="X39">
        <v>267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294</v>
      </c>
      <c r="AG39">
        <v>307.04999999999995</v>
      </c>
      <c r="AH39">
        <v>2</v>
      </c>
      <c r="AI39">
        <v>18916570</v>
      </c>
      <c r="AJ39">
        <v>38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ROW(Source!A173)</f>
        <v>173</v>
      </c>
      <c r="B40">
        <v>18916583</v>
      </c>
      <c r="C40">
        <v>18916569</v>
      </c>
      <c r="D40">
        <v>7159942</v>
      </c>
      <c r="E40">
        <v>7157832</v>
      </c>
      <c r="F40">
        <v>1</v>
      </c>
      <c r="G40">
        <v>7157832</v>
      </c>
      <c r="H40">
        <v>2</v>
      </c>
      <c r="I40" t="s">
        <v>490</v>
      </c>
      <c r="K40" t="s">
        <v>491</v>
      </c>
      <c r="L40">
        <v>1344</v>
      </c>
      <c r="N40">
        <v>1008</v>
      </c>
      <c r="O40" t="s">
        <v>492</v>
      </c>
      <c r="P40" t="s">
        <v>492</v>
      </c>
      <c r="Q40">
        <v>1</v>
      </c>
      <c r="X40">
        <v>4.77</v>
      </c>
      <c r="Y40">
        <v>0</v>
      </c>
      <c r="Z40">
        <v>1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294</v>
      </c>
      <c r="AG40">
        <v>5.485499999999999</v>
      </c>
      <c r="AH40">
        <v>2</v>
      </c>
      <c r="AI40">
        <v>18916573</v>
      </c>
      <c r="AJ40">
        <v>39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ROW(Source!A173)</f>
        <v>173</v>
      </c>
      <c r="B41">
        <v>18916581</v>
      </c>
      <c r="C41">
        <v>18916569</v>
      </c>
      <c r="D41">
        <v>7230977</v>
      </c>
      <c r="E41">
        <v>1</v>
      </c>
      <c r="F41">
        <v>1</v>
      </c>
      <c r="G41">
        <v>7157832</v>
      </c>
      <c r="H41">
        <v>2</v>
      </c>
      <c r="I41" t="s">
        <v>524</v>
      </c>
      <c r="J41" t="s">
        <v>525</v>
      </c>
      <c r="K41" t="s">
        <v>526</v>
      </c>
      <c r="L41">
        <v>1368</v>
      </c>
      <c r="N41">
        <v>1011</v>
      </c>
      <c r="O41" t="s">
        <v>205</v>
      </c>
      <c r="P41" t="s">
        <v>205</v>
      </c>
      <c r="Q41">
        <v>1</v>
      </c>
      <c r="X41">
        <v>11.76</v>
      </c>
      <c r="Y41">
        <v>0</v>
      </c>
      <c r="Z41">
        <v>140.58</v>
      </c>
      <c r="AA41">
        <v>28.61</v>
      </c>
      <c r="AB41">
        <v>0</v>
      </c>
      <c r="AC41">
        <v>0</v>
      </c>
      <c r="AD41">
        <v>1</v>
      </c>
      <c r="AE41">
        <v>0</v>
      </c>
      <c r="AF41" t="s">
        <v>294</v>
      </c>
      <c r="AG41">
        <v>13.524</v>
      </c>
      <c r="AH41">
        <v>2</v>
      </c>
      <c r="AI41">
        <v>18916571</v>
      </c>
      <c r="AJ41">
        <v>40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ROW(Source!A173)</f>
        <v>173</v>
      </c>
      <c r="B42">
        <v>18916582</v>
      </c>
      <c r="C42">
        <v>18916569</v>
      </c>
      <c r="D42">
        <v>7231016</v>
      </c>
      <c r="E42">
        <v>1</v>
      </c>
      <c r="F42">
        <v>1</v>
      </c>
      <c r="G42">
        <v>7157832</v>
      </c>
      <c r="H42">
        <v>2</v>
      </c>
      <c r="I42" t="s">
        <v>533</v>
      </c>
      <c r="J42" t="s">
        <v>534</v>
      </c>
      <c r="K42" t="s">
        <v>535</v>
      </c>
      <c r="L42">
        <v>1368</v>
      </c>
      <c r="N42">
        <v>1011</v>
      </c>
      <c r="O42" t="s">
        <v>205</v>
      </c>
      <c r="P42" t="s">
        <v>205</v>
      </c>
      <c r="Q42">
        <v>1</v>
      </c>
      <c r="X42">
        <v>10.8</v>
      </c>
      <c r="Y42">
        <v>0</v>
      </c>
      <c r="Z42">
        <v>25.58</v>
      </c>
      <c r="AA42">
        <v>1.85</v>
      </c>
      <c r="AB42">
        <v>0</v>
      </c>
      <c r="AC42">
        <v>0</v>
      </c>
      <c r="AD42">
        <v>1</v>
      </c>
      <c r="AE42">
        <v>0</v>
      </c>
      <c r="AF42" t="s">
        <v>294</v>
      </c>
      <c r="AG42">
        <v>12.42</v>
      </c>
      <c r="AH42">
        <v>2</v>
      </c>
      <c r="AI42">
        <v>18916572</v>
      </c>
      <c r="AJ42">
        <v>41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ROW(Source!A173)</f>
        <v>173</v>
      </c>
      <c r="B43">
        <v>18916589</v>
      </c>
      <c r="C43">
        <v>18916569</v>
      </c>
      <c r="D43">
        <v>7182707</v>
      </c>
      <c r="E43">
        <v>7157832</v>
      </c>
      <c r="F43">
        <v>1</v>
      </c>
      <c r="G43">
        <v>7157832</v>
      </c>
      <c r="H43">
        <v>3</v>
      </c>
      <c r="I43" t="s">
        <v>493</v>
      </c>
      <c r="K43" t="s">
        <v>499</v>
      </c>
      <c r="L43">
        <v>1344</v>
      </c>
      <c r="N43">
        <v>1008</v>
      </c>
      <c r="O43" t="s">
        <v>492</v>
      </c>
      <c r="P43" t="s">
        <v>492</v>
      </c>
      <c r="Q43">
        <v>1</v>
      </c>
      <c r="X43">
        <v>49.28</v>
      </c>
      <c r="Y43">
        <v>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49.28</v>
      </c>
      <c r="AH43">
        <v>2</v>
      </c>
      <c r="AI43">
        <v>18916578</v>
      </c>
      <c r="AJ43">
        <v>42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ROW(Source!A173)</f>
        <v>173</v>
      </c>
      <c r="B44">
        <v>18916584</v>
      </c>
      <c r="C44">
        <v>18916569</v>
      </c>
      <c r="D44">
        <v>7231827</v>
      </c>
      <c r="E44">
        <v>1</v>
      </c>
      <c r="F44">
        <v>1</v>
      </c>
      <c r="G44">
        <v>7157832</v>
      </c>
      <c r="H44">
        <v>3</v>
      </c>
      <c r="I44" t="s">
        <v>530</v>
      </c>
      <c r="J44" t="s">
        <v>531</v>
      </c>
      <c r="K44" t="s">
        <v>532</v>
      </c>
      <c r="L44">
        <v>1339</v>
      </c>
      <c r="N44">
        <v>1007</v>
      </c>
      <c r="O44" t="s">
        <v>34</v>
      </c>
      <c r="P44" t="s">
        <v>34</v>
      </c>
      <c r="Q44">
        <v>1</v>
      </c>
      <c r="X44">
        <v>178</v>
      </c>
      <c r="Y44">
        <v>7.07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178</v>
      </c>
      <c r="AH44">
        <v>2</v>
      </c>
      <c r="AI44">
        <v>18916574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ROW(Source!A173)</f>
        <v>173</v>
      </c>
      <c r="B45">
        <v>18916585</v>
      </c>
      <c r="C45">
        <v>18916569</v>
      </c>
      <c r="D45">
        <v>7231756</v>
      </c>
      <c r="E45">
        <v>1</v>
      </c>
      <c r="F45">
        <v>1</v>
      </c>
      <c r="G45">
        <v>7157832</v>
      </c>
      <c r="H45">
        <v>3</v>
      </c>
      <c r="I45" t="s">
        <v>536</v>
      </c>
      <c r="J45" t="s">
        <v>537</v>
      </c>
      <c r="K45" t="s">
        <v>538</v>
      </c>
      <c r="L45">
        <v>1348</v>
      </c>
      <c r="N45">
        <v>1009</v>
      </c>
      <c r="O45" t="s">
        <v>120</v>
      </c>
      <c r="P45" t="s">
        <v>120</v>
      </c>
      <c r="Q45">
        <v>1000</v>
      </c>
      <c r="X45">
        <v>0.09</v>
      </c>
      <c r="Y45">
        <v>3386.07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0.09</v>
      </c>
      <c r="AH45">
        <v>2</v>
      </c>
      <c r="AI45">
        <v>18916575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ROW(Source!A173)</f>
        <v>173</v>
      </c>
      <c r="B46">
        <v>18916586</v>
      </c>
      <c r="C46">
        <v>18916569</v>
      </c>
      <c r="D46">
        <v>7232456</v>
      </c>
      <c r="E46">
        <v>1</v>
      </c>
      <c r="F46">
        <v>1</v>
      </c>
      <c r="G46">
        <v>7157832</v>
      </c>
      <c r="H46">
        <v>3</v>
      </c>
      <c r="I46" t="s">
        <v>539</v>
      </c>
      <c r="J46" t="s">
        <v>540</v>
      </c>
      <c r="K46" t="s">
        <v>541</v>
      </c>
      <c r="L46">
        <v>1339</v>
      </c>
      <c r="N46">
        <v>1007</v>
      </c>
      <c r="O46" t="s">
        <v>34</v>
      </c>
      <c r="P46" t="s">
        <v>34</v>
      </c>
      <c r="Q46">
        <v>1</v>
      </c>
      <c r="X46">
        <v>40</v>
      </c>
      <c r="Y46">
        <v>104.99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40</v>
      </c>
      <c r="AH46">
        <v>2</v>
      </c>
      <c r="AI46">
        <v>18916576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ROW(Source!A173)</f>
        <v>173</v>
      </c>
      <c r="B47">
        <v>18916587</v>
      </c>
      <c r="C47">
        <v>18916569</v>
      </c>
      <c r="D47">
        <v>7239912</v>
      </c>
      <c r="E47">
        <v>1</v>
      </c>
      <c r="F47">
        <v>1</v>
      </c>
      <c r="G47">
        <v>7157832</v>
      </c>
      <c r="H47">
        <v>3</v>
      </c>
      <c r="I47" t="s">
        <v>542</v>
      </c>
      <c r="J47" t="s">
        <v>543</v>
      </c>
      <c r="K47" t="s">
        <v>544</v>
      </c>
      <c r="L47">
        <v>1327</v>
      </c>
      <c r="N47">
        <v>1005</v>
      </c>
      <c r="O47" t="s">
        <v>545</v>
      </c>
      <c r="P47" t="s">
        <v>545</v>
      </c>
      <c r="Q47">
        <v>1</v>
      </c>
      <c r="X47">
        <v>10.2</v>
      </c>
      <c r="Y47">
        <v>90.15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10.2</v>
      </c>
      <c r="AH47">
        <v>2</v>
      </c>
      <c r="AI47">
        <v>18916577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ROW(Source!A173)</f>
        <v>173</v>
      </c>
      <c r="B48">
        <v>18916588</v>
      </c>
      <c r="C48">
        <v>18916569</v>
      </c>
      <c r="D48">
        <v>7178478</v>
      </c>
      <c r="E48">
        <v>7157832</v>
      </c>
      <c r="F48">
        <v>1</v>
      </c>
      <c r="G48">
        <v>7157832</v>
      </c>
      <c r="H48">
        <v>3</v>
      </c>
      <c r="I48" t="s">
        <v>590</v>
      </c>
      <c r="K48" t="s">
        <v>591</v>
      </c>
      <c r="L48">
        <v>1339</v>
      </c>
      <c r="N48">
        <v>1007</v>
      </c>
      <c r="O48" t="s">
        <v>34</v>
      </c>
      <c r="P48" t="s">
        <v>34</v>
      </c>
      <c r="Q48">
        <v>1</v>
      </c>
      <c r="X48">
        <v>162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162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ROW(Source!A175)</f>
        <v>175</v>
      </c>
      <c r="B49">
        <v>18916595</v>
      </c>
      <c r="C49">
        <v>18916591</v>
      </c>
      <c r="D49">
        <v>7157835</v>
      </c>
      <c r="E49">
        <v>7157832</v>
      </c>
      <c r="F49">
        <v>1</v>
      </c>
      <c r="G49">
        <v>7157832</v>
      </c>
      <c r="H49">
        <v>1</v>
      </c>
      <c r="I49" t="s">
        <v>487</v>
      </c>
      <c r="K49" t="s">
        <v>488</v>
      </c>
      <c r="L49">
        <v>1191</v>
      </c>
      <c r="N49">
        <v>1013</v>
      </c>
      <c r="O49" t="s">
        <v>489</v>
      </c>
      <c r="P49" t="s">
        <v>489</v>
      </c>
      <c r="Q49">
        <v>1</v>
      </c>
      <c r="X49">
        <v>5.17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386</v>
      </c>
      <c r="AG49">
        <v>23.781999999999996</v>
      </c>
      <c r="AH49">
        <v>2</v>
      </c>
      <c r="AI49">
        <v>18916592</v>
      </c>
      <c r="AJ49">
        <v>48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ROW(Source!A175)</f>
        <v>175</v>
      </c>
      <c r="B50">
        <v>18916596</v>
      </c>
      <c r="C50">
        <v>18916591</v>
      </c>
      <c r="D50">
        <v>7239912</v>
      </c>
      <c r="E50">
        <v>1</v>
      </c>
      <c r="F50">
        <v>1</v>
      </c>
      <c r="G50">
        <v>7157832</v>
      </c>
      <c r="H50">
        <v>3</v>
      </c>
      <c r="I50" t="s">
        <v>542</v>
      </c>
      <c r="J50" t="s">
        <v>543</v>
      </c>
      <c r="K50" t="s">
        <v>544</v>
      </c>
      <c r="L50">
        <v>1327</v>
      </c>
      <c r="N50">
        <v>1005</v>
      </c>
      <c r="O50" t="s">
        <v>545</v>
      </c>
      <c r="P50" t="s">
        <v>545</v>
      </c>
      <c r="Q50">
        <v>1</v>
      </c>
      <c r="X50">
        <v>0.65</v>
      </c>
      <c r="Y50">
        <v>90.15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385</v>
      </c>
      <c r="AG50">
        <v>2.6</v>
      </c>
      <c r="AH50">
        <v>2</v>
      </c>
      <c r="AI50">
        <v>18916593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ROW(Source!A175)</f>
        <v>175</v>
      </c>
      <c r="B51">
        <v>18916597</v>
      </c>
      <c r="C51">
        <v>18916591</v>
      </c>
      <c r="D51">
        <v>7178478</v>
      </c>
      <c r="E51">
        <v>7157832</v>
      </c>
      <c r="F51">
        <v>1</v>
      </c>
      <c r="G51">
        <v>7157832</v>
      </c>
      <c r="H51">
        <v>3</v>
      </c>
      <c r="I51" t="s">
        <v>590</v>
      </c>
      <c r="K51" t="s">
        <v>591</v>
      </c>
      <c r="L51">
        <v>1339</v>
      </c>
      <c r="N51">
        <v>1007</v>
      </c>
      <c r="O51" t="s">
        <v>34</v>
      </c>
      <c r="P51" t="s">
        <v>34</v>
      </c>
      <c r="Q51">
        <v>1</v>
      </c>
      <c r="X51">
        <v>10.2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 t="s">
        <v>385</v>
      </c>
      <c r="AG51">
        <v>40.8</v>
      </c>
      <c r="AH51">
        <v>3</v>
      </c>
      <c r="AI51">
        <v>-1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ROW(Source!A177)</f>
        <v>177</v>
      </c>
      <c r="B52">
        <v>18916611</v>
      </c>
      <c r="C52">
        <v>18916599</v>
      </c>
      <c r="D52">
        <v>7157835</v>
      </c>
      <c r="E52">
        <v>7157832</v>
      </c>
      <c r="F52">
        <v>1</v>
      </c>
      <c r="G52">
        <v>7157832</v>
      </c>
      <c r="H52">
        <v>1</v>
      </c>
      <c r="I52" t="s">
        <v>487</v>
      </c>
      <c r="K52" t="s">
        <v>488</v>
      </c>
      <c r="L52">
        <v>1191</v>
      </c>
      <c r="N52">
        <v>1013</v>
      </c>
      <c r="O52" t="s">
        <v>489</v>
      </c>
      <c r="P52" t="s">
        <v>489</v>
      </c>
      <c r="Q52">
        <v>1</v>
      </c>
      <c r="X52">
        <v>4.29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294</v>
      </c>
      <c r="AG52">
        <v>4.9334999999999996</v>
      </c>
      <c r="AH52">
        <v>2</v>
      </c>
      <c r="AI52">
        <v>18916600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ROW(Source!A177)</f>
        <v>177</v>
      </c>
      <c r="B53">
        <v>18916612</v>
      </c>
      <c r="C53">
        <v>18916599</v>
      </c>
      <c r="D53">
        <v>7231127</v>
      </c>
      <c r="E53">
        <v>1</v>
      </c>
      <c r="F53">
        <v>1</v>
      </c>
      <c r="G53">
        <v>7157832</v>
      </c>
      <c r="H53">
        <v>2</v>
      </c>
      <c r="I53" t="s">
        <v>503</v>
      </c>
      <c r="J53" t="s">
        <v>504</v>
      </c>
      <c r="K53" t="s">
        <v>505</v>
      </c>
      <c r="L53">
        <v>1368</v>
      </c>
      <c r="N53">
        <v>1011</v>
      </c>
      <c r="O53" t="s">
        <v>205</v>
      </c>
      <c r="P53" t="s">
        <v>205</v>
      </c>
      <c r="Q53">
        <v>1</v>
      </c>
      <c r="X53">
        <v>0.3</v>
      </c>
      <c r="Y53">
        <v>0</v>
      </c>
      <c r="Z53">
        <v>60.77</v>
      </c>
      <c r="AA53">
        <v>18.48</v>
      </c>
      <c r="AB53">
        <v>0</v>
      </c>
      <c r="AC53">
        <v>0</v>
      </c>
      <c r="AD53">
        <v>1</v>
      </c>
      <c r="AE53">
        <v>0</v>
      </c>
      <c r="AF53" t="s">
        <v>294</v>
      </c>
      <c r="AG53">
        <v>0.345</v>
      </c>
      <c r="AH53">
        <v>2</v>
      </c>
      <c r="AI53">
        <v>18916601</v>
      </c>
      <c r="AJ53">
        <v>52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ROW(Source!A177)</f>
        <v>177</v>
      </c>
      <c r="B54">
        <v>18916613</v>
      </c>
      <c r="C54">
        <v>18916599</v>
      </c>
      <c r="D54">
        <v>7230893</v>
      </c>
      <c r="E54">
        <v>1</v>
      </c>
      <c r="F54">
        <v>1</v>
      </c>
      <c r="G54">
        <v>7157832</v>
      </c>
      <c r="H54">
        <v>2</v>
      </c>
      <c r="I54" t="s">
        <v>546</v>
      </c>
      <c r="J54" t="s">
        <v>547</v>
      </c>
      <c r="K54" t="s">
        <v>548</v>
      </c>
      <c r="L54">
        <v>1368</v>
      </c>
      <c r="N54">
        <v>1011</v>
      </c>
      <c r="O54" t="s">
        <v>205</v>
      </c>
      <c r="P54" t="s">
        <v>205</v>
      </c>
      <c r="Q54">
        <v>1</v>
      </c>
      <c r="X54">
        <v>0.3</v>
      </c>
      <c r="Y54">
        <v>0</v>
      </c>
      <c r="Z54">
        <v>106.74</v>
      </c>
      <c r="AA54">
        <v>19.2</v>
      </c>
      <c r="AB54">
        <v>0</v>
      </c>
      <c r="AC54">
        <v>0</v>
      </c>
      <c r="AD54">
        <v>1</v>
      </c>
      <c r="AE54">
        <v>0</v>
      </c>
      <c r="AF54" t="s">
        <v>294</v>
      </c>
      <c r="AG54">
        <v>0.345</v>
      </c>
      <c r="AH54">
        <v>2</v>
      </c>
      <c r="AI54">
        <v>18916602</v>
      </c>
      <c r="AJ54">
        <v>53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ROW(Source!A177)</f>
        <v>177</v>
      </c>
      <c r="B55">
        <v>18916614</v>
      </c>
      <c r="C55">
        <v>18916599</v>
      </c>
      <c r="D55">
        <v>7230976</v>
      </c>
      <c r="E55">
        <v>1</v>
      </c>
      <c r="F55">
        <v>1</v>
      </c>
      <c r="G55">
        <v>7157832</v>
      </c>
      <c r="H55">
        <v>2</v>
      </c>
      <c r="I55" t="s">
        <v>549</v>
      </c>
      <c r="J55" t="s">
        <v>550</v>
      </c>
      <c r="K55" t="s">
        <v>551</v>
      </c>
      <c r="L55">
        <v>1368</v>
      </c>
      <c r="N55">
        <v>1011</v>
      </c>
      <c r="O55" t="s">
        <v>205</v>
      </c>
      <c r="P55" t="s">
        <v>205</v>
      </c>
      <c r="Q55">
        <v>1</v>
      </c>
      <c r="X55">
        <v>0.3</v>
      </c>
      <c r="Y55">
        <v>0</v>
      </c>
      <c r="Z55">
        <v>148.89</v>
      </c>
      <c r="AA55">
        <v>28.61</v>
      </c>
      <c r="AB55">
        <v>0</v>
      </c>
      <c r="AC55">
        <v>0</v>
      </c>
      <c r="AD55">
        <v>1</v>
      </c>
      <c r="AE55">
        <v>0</v>
      </c>
      <c r="AF55" t="s">
        <v>294</v>
      </c>
      <c r="AG55">
        <v>0.345</v>
      </c>
      <c r="AH55">
        <v>2</v>
      </c>
      <c r="AI55">
        <v>18916603</v>
      </c>
      <c r="AJ55">
        <v>54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ROW(Source!A177)</f>
        <v>177</v>
      </c>
      <c r="B56">
        <v>18916615</v>
      </c>
      <c r="C56">
        <v>18916599</v>
      </c>
      <c r="D56">
        <v>7230978</v>
      </c>
      <c r="E56">
        <v>1</v>
      </c>
      <c r="F56">
        <v>1</v>
      </c>
      <c r="G56">
        <v>7157832</v>
      </c>
      <c r="H56">
        <v>2</v>
      </c>
      <c r="I56" t="s">
        <v>552</v>
      </c>
      <c r="J56" t="s">
        <v>553</v>
      </c>
      <c r="K56" t="s">
        <v>554</v>
      </c>
      <c r="L56">
        <v>1368</v>
      </c>
      <c r="N56">
        <v>1011</v>
      </c>
      <c r="O56" t="s">
        <v>205</v>
      </c>
      <c r="P56" t="s">
        <v>205</v>
      </c>
      <c r="Q56">
        <v>1</v>
      </c>
      <c r="X56">
        <v>0.3</v>
      </c>
      <c r="Y56">
        <v>0</v>
      </c>
      <c r="Z56">
        <v>249.15</v>
      </c>
      <c r="AA56">
        <v>42.85</v>
      </c>
      <c r="AB56">
        <v>0</v>
      </c>
      <c r="AC56">
        <v>0</v>
      </c>
      <c r="AD56">
        <v>1</v>
      </c>
      <c r="AE56">
        <v>0</v>
      </c>
      <c r="AF56" t="s">
        <v>294</v>
      </c>
      <c r="AG56">
        <v>0.345</v>
      </c>
      <c r="AH56">
        <v>2</v>
      </c>
      <c r="AI56">
        <v>18916604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ROW(Source!A177)</f>
        <v>177</v>
      </c>
      <c r="B57">
        <v>18916616</v>
      </c>
      <c r="C57">
        <v>18916599</v>
      </c>
      <c r="D57">
        <v>7230962</v>
      </c>
      <c r="E57">
        <v>1</v>
      </c>
      <c r="F57">
        <v>1</v>
      </c>
      <c r="G57">
        <v>7157832</v>
      </c>
      <c r="H57">
        <v>2</v>
      </c>
      <c r="I57" t="s">
        <v>555</v>
      </c>
      <c r="J57" t="s">
        <v>556</v>
      </c>
      <c r="K57" t="s">
        <v>557</v>
      </c>
      <c r="L57">
        <v>1368</v>
      </c>
      <c r="N57">
        <v>1011</v>
      </c>
      <c r="O57" t="s">
        <v>205</v>
      </c>
      <c r="P57" t="s">
        <v>205</v>
      </c>
      <c r="Q57">
        <v>1</v>
      </c>
      <c r="X57">
        <v>0.3</v>
      </c>
      <c r="Y57">
        <v>0</v>
      </c>
      <c r="Z57">
        <v>84.82</v>
      </c>
      <c r="AA57">
        <v>22.85</v>
      </c>
      <c r="AB57">
        <v>0</v>
      </c>
      <c r="AC57">
        <v>0</v>
      </c>
      <c r="AD57">
        <v>1</v>
      </c>
      <c r="AE57">
        <v>0</v>
      </c>
      <c r="AF57" t="s">
        <v>294</v>
      </c>
      <c r="AG57">
        <v>0.345</v>
      </c>
      <c r="AH57">
        <v>2</v>
      </c>
      <c r="AI57">
        <v>18916605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ROW(Source!A177)</f>
        <v>177</v>
      </c>
      <c r="B58">
        <v>18916617</v>
      </c>
      <c r="C58">
        <v>18916599</v>
      </c>
      <c r="D58">
        <v>7230993</v>
      </c>
      <c r="E58">
        <v>1</v>
      </c>
      <c r="F58">
        <v>1</v>
      </c>
      <c r="G58">
        <v>7157832</v>
      </c>
      <c r="H58">
        <v>2</v>
      </c>
      <c r="I58" t="s">
        <v>558</v>
      </c>
      <c r="J58" t="s">
        <v>559</v>
      </c>
      <c r="K58" t="s">
        <v>560</v>
      </c>
      <c r="L58">
        <v>1368</v>
      </c>
      <c r="N58">
        <v>1011</v>
      </c>
      <c r="O58" t="s">
        <v>205</v>
      </c>
      <c r="P58" t="s">
        <v>205</v>
      </c>
      <c r="Q58">
        <v>1</v>
      </c>
      <c r="X58">
        <v>0.3</v>
      </c>
      <c r="Y58">
        <v>0</v>
      </c>
      <c r="Z58">
        <v>124.6</v>
      </c>
      <c r="AA58">
        <v>28.4</v>
      </c>
      <c r="AB58">
        <v>0</v>
      </c>
      <c r="AC58">
        <v>0</v>
      </c>
      <c r="AD58">
        <v>1</v>
      </c>
      <c r="AE58">
        <v>0</v>
      </c>
      <c r="AF58" t="s">
        <v>294</v>
      </c>
      <c r="AG58">
        <v>0.345</v>
      </c>
      <c r="AH58">
        <v>2</v>
      </c>
      <c r="AI58">
        <v>18916606</v>
      </c>
      <c r="AJ58">
        <v>57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ROW(Source!A177)</f>
        <v>177</v>
      </c>
      <c r="B59">
        <v>18916618</v>
      </c>
      <c r="C59">
        <v>18916599</v>
      </c>
      <c r="D59">
        <v>7230966</v>
      </c>
      <c r="E59">
        <v>1</v>
      </c>
      <c r="F59">
        <v>1</v>
      </c>
      <c r="G59">
        <v>7157832</v>
      </c>
      <c r="H59">
        <v>2</v>
      </c>
      <c r="I59" t="s">
        <v>561</v>
      </c>
      <c r="J59" t="s">
        <v>562</v>
      </c>
      <c r="K59" t="s">
        <v>563</v>
      </c>
      <c r="L59">
        <v>1368</v>
      </c>
      <c r="N59">
        <v>1011</v>
      </c>
      <c r="O59" t="s">
        <v>205</v>
      </c>
      <c r="P59" t="s">
        <v>205</v>
      </c>
      <c r="Q59">
        <v>1</v>
      </c>
      <c r="X59">
        <v>0.3</v>
      </c>
      <c r="Y59">
        <v>0</v>
      </c>
      <c r="Z59">
        <v>88.4</v>
      </c>
      <c r="AA59">
        <v>23.18</v>
      </c>
      <c r="AB59">
        <v>0</v>
      </c>
      <c r="AC59">
        <v>0</v>
      </c>
      <c r="AD59">
        <v>1</v>
      </c>
      <c r="AE59">
        <v>0</v>
      </c>
      <c r="AF59" t="s">
        <v>294</v>
      </c>
      <c r="AG59">
        <v>0.345</v>
      </c>
      <c r="AH59">
        <v>2</v>
      </c>
      <c r="AI59">
        <v>18916607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ROW(Source!A177)</f>
        <v>177</v>
      </c>
      <c r="B60">
        <v>18916619</v>
      </c>
      <c r="C60">
        <v>18916599</v>
      </c>
      <c r="D60">
        <v>7230967</v>
      </c>
      <c r="E60">
        <v>1</v>
      </c>
      <c r="F60">
        <v>1</v>
      </c>
      <c r="G60">
        <v>7157832</v>
      </c>
      <c r="H60">
        <v>2</v>
      </c>
      <c r="I60" t="s">
        <v>527</v>
      </c>
      <c r="J60" t="s">
        <v>528</v>
      </c>
      <c r="K60" t="s">
        <v>529</v>
      </c>
      <c r="L60">
        <v>1368</v>
      </c>
      <c r="N60">
        <v>1011</v>
      </c>
      <c r="O60" t="s">
        <v>205</v>
      </c>
      <c r="P60" t="s">
        <v>205</v>
      </c>
      <c r="Q60">
        <v>1</v>
      </c>
      <c r="X60">
        <v>0.9</v>
      </c>
      <c r="Y60">
        <v>0</v>
      </c>
      <c r="Z60">
        <v>178.02</v>
      </c>
      <c r="AA60">
        <v>23.5</v>
      </c>
      <c r="AB60">
        <v>0</v>
      </c>
      <c r="AC60">
        <v>0</v>
      </c>
      <c r="AD60">
        <v>1</v>
      </c>
      <c r="AE60">
        <v>0</v>
      </c>
      <c r="AF60" t="s">
        <v>294</v>
      </c>
      <c r="AG60">
        <v>1.035</v>
      </c>
      <c r="AH60">
        <v>2</v>
      </c>
      <c r="AI60">
        <v>18916608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ROW(Source!A177)</f>
        <v>177</v>
      </c>
      <c r="B61">
        <v>18916620</v>
      </c>
      <c r="C61">
        <v>18916599</v>
      </c>
      <c r="D61">
        <v>7235091</v>
      </c>
      <c r="E61">
        <v>1</v>
      </c>
      <c r="F61">
        <v>1</v>
      </c>
      <c r="G61">
        <v>7157832</v>
      </c>
      <c r="H61">
        <v>3</v>
      </c>
      <c r="I61" t="s">
        <v>564</v>
      </c>
      <c r="J61" t="s">
        <v>565</v>
      </c>
      <c r="K61" t="s">
        <v>566</v>
      </c>
      <c r="L61">
        <v>1348</v>
      </c>
      <c r="N61">
        <v>1009</v>
      </c>
      <c r="O61" t="s">
        <v>120</v>
      </c>
      <c r="P61" t="s">
        <v>120</v>
      </c>
      <c r="Q61">
        <v>1000</v>
      </c>
      <c r="X61">
        <v>0.04</v>
      </c>
      <c r="Y61">
        <v>1445.87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0.04</v>
      </c>
      <c r="AH61">
        <v>2</v>
      </c>
      <c r="AI61">
        <v>18916609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ROW(Source!A177)</f>
        <v>177</v>
      </c>
      <c r="B62">
        <v>18916621</v>
      </c>
      <c r="C62">
        <v>18916599</v>
      </c>
      <c r="D62">
        <v>7178138</v>
      </c>
      <c r="E62">
        <v>7157832</v>
      </c>
      <c r="F62">
        <v>1</v>
      </c>
      <c r="G62">
        <v>7157832</v>
      </c>
      <c r="H62">
        <v>3</v>
      </c>
      <c r="I62" t="s">
        <v>592</v>
      </c>
      <c r="K62" t="s">
        <v>593</v>
      </c>
      <c r="L62">
        <v>1348</v>
      </c>
      <c r="N62">
        <v>1009</v>
      </c>
      <c r="O62" t="s">
        <v>120</v>
      </c>
      <c r="P62" t="s">
        <v>120</v>
      </c>
      <c r="Q62">
        <v>1000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0</v>
      </c>
      <c r="AH62">
        <v>3</v>
      </c>
      <c r="AI62">
        <v>-1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ROW(Source!A179)</f>
        <v>179</v>
      </c>
      <c r="B63">
        <v>18916628</v>
      </c>
      <c r="C63">
        <v>18916623</v>
      </c>
      <c r="D63">
        <v>7157835</v>
      </c>
      <c r="E63">
        <v>7157832</v>
      </c>
      <c r="F63">
        <v>1</v>
      </c>
      <c r="G63">
        <v>7157832</v>
      </c>
      <c r="H63">
        <v>1</v>
      </c>
      <c r="I63" t="s">
        <v>487</v>
      </c>
      <c r="K63" t="s">
        <v>488</v>
      </c>
      <c r="L63">
        <v>1191</v>
      </c>
      <c r="N63">
        <v>1013</v>
      </c>
      <c r="O63" t="s">
        <v>489</v>
      </c>
      <c r="P63" t="s">
        <v>489</v>
      </c>
      <c r="Q63">
        <v>1</v>
      </c>
      <c r="X63">
        <v>0.53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 t="s">
        <v>403</v>
      </c>
      <c r="AG63">
        <v>1.2189999999999999</v>
      </c>
      <c r="AH63">
        <v>2</v>
      </c>
      <c r="AI63">
        <v>18916624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ROW(Source!A179)</f>
        <v>179</v>
      </c>
      <c r="B64">
        <v>18916629</v>
      </c>
      <c r="C64">
        <v>18916623</v>
      </c>
      <c r="D64">
        <v>7230893</v>
      </c>
      <c r="E64">
        <v>1</v>
      </c>
      <c r="F64">
        <v>1</v>
      </c>
      <c r="G64">
        <v>7157832</v>
      </c>
      <c r="H64">
        <v>2</v>
      </c>
      <c r="I64" t="s">
        <v>546</v>
      </c>
      <c r="J64" t="s">
        <v>547</v>
      </c>
      <c r="K64" t="s">
        <v>548</v>
      </c>
      <c r="L64">
        <v>1368</v>
      </c>
      <c r="N64">
        <v>1011</v>
      </c>
      <c r="O64" t="s">
        <v>205</v>
      </c>
      <c r="P64" t="s">
        <v>205</v>
      </c>
      <c r="Q64">
        <v>1</v>
      </c>
      <c r="X64">
        <v>0.075</v>
      </c>
      <c r="Y64">
        <v>0</v>
      </c>
      <c r="Z64">
        <v>106.74</v>
      </c>
      <c r="AA64">
        <v>19.2</v>
      </c>
      <c r="AB64">
        <v>0</v>
      </c>
      <c r="AC64">
        <v>0</v>
      </c>
      <c r="AD64">
        <v>1</v>
      </c>
      <c r="AE64">
        <v>0</v>
      </c>
      <c r="AF64" t="s">
        <v>403</v>
      </c>
      <c r="AG64">
        <v>0.1725</v>
      </c>
      <c r="AH64">
        <v>2</v>
      </c>
      <c r="AI64">
        <v>18916625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ROW(Source!A179)</f>
        <v>179</v>
      </c>
      <c r="B65">
        <v>18916630</v>
      </c>
      <c r="C65">
        <v>18916623</v>
      </c>
      <c r="D65">
        <v>7230993</v>
      </c>
      <c r="E65">
        <v>1</v>
      </c>
      <c r="F65">
        <v>1</v>
      </c>
      <c r="G65">
        <v>7157832</v>
      </c>
      <c r="H65">
        <v>2</v>
      </c>
      <c r="I65" t="s">
        <v>558</v>
      </c>
      <c r="J65" t="s">
        <v>559</v>
      </c>
      <c r="K65" t="s">
        <v>560</v>
      </c>
      <c r="L65">
        <v>1368</v>
      </c>
      <c r="N65">
        <v>1011</v>
      </c>
      <c r="O65" t="s">
        <v>205</v>
      </c>
      <c r="P65" t="s">
        <v>205</v>
      </c>
      <c r="Q65">
        <v>1</v>
      </c>
      <c r="X65">
        <v>0.075</v>
      </c>
      <c r="Y65">
        <v>0</v>
      </c>
      <c r="Z65">
        <v>124.6</v>
      </c>
      <c r="AA65">
        <v>28.4</v>
      </c>
      <c r="AB65">
        <v>0</v>
      </c>
      <c r="AC65">
        <v>0</v>
      </c>
      <c r="AD65">
        <v>1</v>
      </c>
      <c r="AE65">
        <v>0</v>
      </c>
      <c r="AF65" t="s">
        <v>403</v>
      </c>
      <c r="AG65">
        <v>0.1725</v>
      </c>
      <c r="AH65">
        <v>2</v>
      </c>
      <c r="AI65">
        <v>18916626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ROW(Source!A179)</f>
        <v>179</v>
      </c>
      <c r="B66">
        <v>18916631</v>
      </c>
      <c r="C66">
        <v>18916623</v>
      </c>
      <c r="D66">
        <v>7178138</v>
      </c>
      <c r="E66">
        <v>7157832</v>
      </c>
      <c r="F66">
        <v>1</v>
      </c>
      <c r="G66">
        <v>7157832</v>
      </c>
      <c r="H66">
        <v>3</v>
      </c>
      <c r="I66" t="s">
        <v>592</v>
      </c>
      <c r="K66" t="s">
        <v>593</v>
      </c>
      <c r="L66">
        <v>1348</v>
      </c>
      <c r="N66">
        <v>1009</v>
      </c>
      <c r="O66" t="s">
        <v>120</v>
      </c>
      <c r="P66" t="s">
        <v>120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 t="s">
        <v>193</v>
      </c>
      <c r="AG66">
        <v>0</v>
      </c>
      <c r="AH66">
        <v>3</v>
      </c>
      <c r="AI66">
        <v>-1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ROW(Source!A181)</f>
        <v>181</v>
      </c>
      <c r="B67">
        <v>18916645</v>
      </c>
      <c r="C67">
        <v>18916633</v>
      </c>
      <c r="D67">
        <v>7157835</v>
      </c>
      <c r="E67">
        <v>7157832</v>
      </c>
      <c r="F67">
        <v>1</v>
      </c>
      <c r="G67">
        <v>7157832</v>
      </c>
      <c r="H67">
        <v>1</v>
      </c>
      <c r="I67" t="s">
        <v>487</v>
      </c>
      <c r="K67" t="s">
        <v>488</v>
      </c>
      <c r="L67">
        <v>1191</v>
      </c>
      <c r="N67">
        <v>1013</v>
      </c>
      <c r="O67" t="s">
        <v>489</v>
      </c>
      <c r="P67" t="s">
        <v>489</v>
      </c>
      <c r="Q67">
        <v>1</v>
      </c>
      <c r="X67">
        <v>4.29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 t="s">
        <v>294</v>
      </c>
      <c r="AG67">
        <v>4.9334999999999996</v>
      </c>
      <c r="AH67">
        <v>2</v>
      </c>
      <c r="AI67">
        <v>18916634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ROW(Source!A181)</f>
        <v>181</v>
      </c>
      <c r="B68">
        <v>18916646</v>
      </c>
      <c r="C68">
        <v>18916633</v>
      </c>
      <c r="D68">
        <v>7231127</v>
      </c>
      <c r="E68">
        <v>1</v>
      </c>
      <c r="F68">
        <v>1</v>
      </c>
      <c r="G68">
        <v>7157832</v>
      </c>
      <c r="H68">
        <v>2</v>
      </c>
      <c r="I68" t="s">
        <v>503</v>
      </c>
      <c r="J68" t="s">
        <v>504</v>
      </c>
      <c r="K68" t="s">
        <v>505</v>
      </c>
      <c r="L68">
        <v>1368</v>
      </c>
      <c r="N68">
        <v>1011</v>
      </c>
      <c r="O68" t="s">
        <v>205</v>
      </c>
      <c r="P68" t="s">
        <v>205</v>
      </c>
      <c r="Q68">
        <v>1</v>
      </c>
      <c r="X68">
        <v>0.3</v>
      </c>
      <c r="Y68">
        <v>0</v>
      </c>
      <c r="Z68">
        <v>60.77</v>
      </c>
      <c r="AA68">
        <v>18.48</v>
      </c>
      <c r="AB68">
        <v>0</v>
      </c>
      <c r="AC68">
        <v>0</v>
      </c>
      <c r="AD68">
        <v>1</v>
      </c>
      <c r="AE68">
        <v>0</v>
      </c>
      <c r="AF68" t="s">
        <v>294</v>
      </c>
      <c r="AG68">
        <v>0.345</v>
      </c>
      <c r="AH68">
        <v>2</v>
      </c>
      <c r="AI68">
        <v>18916635</v>
      </c>
      <c r="AJ68">
        <v>67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ROW(Source!A181)</f>
        <v>181</v>
      </c>
      <c r="B69">
        <v>18916647</v>
      </c>
      <c r="C69">
        <v>18916633</v>
      </c>
      <c r="D69">
        <v>7230893</v>
      </c>
      <c r="E69">
        <v>1</v>
      </c>
      <c r="F69">
        <v>1</v>
      </c>
      <c r="G69">
        <v>7157832</v>
      </c>
      <c r="H69">
        <v>2</v>
      </c>
      <c r="I69" t="s">
        <v>546</v>
      </c>
      <c r="J69" t="s">
        <v>547</v>
      </c>
      <c r="K69" t="s">
        <v>548</v>
      </c>
      <c r="L69">
        <v>1368</v>
      </c>
      <c r="N69">
        <v>1011</v>
      </c>
      <c r="O69" t="s">
        <v>205</v>
      </c>
      <c r="P69" t="s">
        <v>205</v>
      </c>
      <c r="Q69">
        <v>1</v>
      </c>
      <c r="X69">
        <v>0.3</v>
      </c>
      <c r="Y69">
        <v>0</v>
      </c>
      <c r="Z69">
        <v>106.74</v>
      </c>
      <c r="AA69">
        <v>19.2</v>
      </c>
      <c r="AB69">
        <v>0</v>
      </c>
      <c r="AC69">
        <v>0</v>
      </c>
      <c r="AD69">
        <v>1</v>
      </c>
      <c r="AE69">
        <v>0</v>
      </c>
      <c r="AF69" t="s">
        <v>294</v>
      </c>
      <c r="AG69">
        <v>0.345</v>
      </c>
      <c r="AH69">
        <v>2</v>
      </c>
      <c r="AI69">
        <v>18916636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ROW(Source!A181)</f>
        <v>181</v>
      </c>
      <c r="B70">
        <v>18916648</v>
      </c>
      <c r="C70">
        <v>18916633</v>
      </c>
      <c r="D70">
        <v>7230976</v>
      </c>
      <c r="E70">
        <v>1</v>
      </c>
      <c r="F70">
        <v>1</v>
      </c>
      <c r="G70">
        <v>7157832</v>
      </c>
      <c r="H70">
        <v>2</v>
      </c>
      <c r="I70" t="s">
        <v>549</v>
      </c>
      <c r="J70" t="s">
        <v>550</v>
      </c>
      <c r="K70" t="s">
        <v>551</v>
      </c>
      <c r="L70">
        <v>1368</v>
      </c>
      <c r="N70">
        <v>1011</v>
      </c>
      <c r="O70" t="s">
        <v>205</v>
      </c>
      <c r="P70" t="s">
        <v>205</v>
      </c>
      <c r="Q70">
        <v>1</v>
      </c>
      <c r="X70">
        <v>0.3</v>
      </c>
      <c r="Y70">
        <v>0</v>
      </c>
      <c r="Z70">
        <v>148.89</v>
      </c>
      <c r="AA70">
        <v>28.61</v>
      </c>
      <c r="AB70">
        <v>0</v>
      </c>
      <c r="AC70">
        <v>0</v>
      </c>
      <c r="AD70">
        <v>1</v>
      </c>
      <c r="AE70">
        <v>0</v>
      </c>
      <c r="AF70" t="s">
        <v>294</v>
      </c>
      <c r="AG70">
        <v>0.345</v>
      </c>
      <c r="AH70">
        <v>2</v>
      </c>
      <c r="AI70">
        <v>18916637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ROW(Source!A181)</f>
        <v>181</v>
      </c>
      <c r="B71">
        <v>18916649</v>
      </c>
      <c r="C71">
        <v>18916633</v>
      </c>
      <c r="D71">
        <v>7230978</v>
      </c>
      <c r="E71">
        <v>1</v>
      </c>
      <c r="F71">
        <v>1</v>
      </c>
      <c r="G71">
        <v>7157832</v>
      </c>
      <c r="H71">
        <v>2</v>
      </c>
      <c r="I71" t="s">
        <v>552</v>
      </c>
      <c r="J71" t="s">
        <v>553</v>
      </c>
      <c r="K71" t="s">
        <v>554</v>
      </c>
      <c r="L71">
        <v>1368</v>
      </c>
      <c r="N71">
        <v>1011</v>
      </c>
      <c r="O71" t="s">
        <v>205</v>
      </c>
      <c r="P71" t="s">
        <v>205</v>
      </c>
      <c r="Q71">
        <v>1</v>
      </c>
      <c r="X71">
        <v>0.3</v>
      </c>
      <c r="Y71">
        <v>0</v>
      </c>
      <c r="Z71">
        <v>249.15</v>
      </c>
      <c r="AA71">
        <v>42.85</v>
      </c>
      <c r="AB71">
        <v>0</v>
      </c>
      <c r="AC71">
        <v>0</v>
      </c>
      <c r="AD71">
        <v>1</v>
      </c>
      <c r="AE71">
        <v>0</v>
      </c>
      <c r="AF71" t="s">
        <v>294</v>
      </c>
      <c r="AG71">
        <v>0.345</v>
      </c>
      <c r="AH71">
        <v>2</v>
      </c>
      <c r="AI71">
        <v>18916638</v>
      </c>
      <c r="AJ71">
        <v>70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ROW(Source!A181)</f>
        <v>181</v>
      </c>
      <c r="B72">
        <v>18916650</v>
      </c>
      <c r="C72">
        <v>18916633</v>
      </c>
      <c r="D72">
        <v>7230962</v>
      </c>
      <c r="E72">
        <v>1</v>
      </c>
      <c r="F72">
        <v>1</v>
      </c>
      <c r="G72">
        <v>7157832</v>
      </c>
      <c r="H72">
        <v>2</v>
      </c>
      <c r="I72" t="s">
        <v>555</v>
      </c>
      <c r="J72" t="s">
        <v>556</v>
      </c>
      <c r="K72" t="s">
        <v>557</v>
      </c>
      <c r="L72">
        <v>1368</v>
      </c>
      <c r="N72">
        <v>1011</v>
      </c>
      <c r="O72" t="s">
        <v>205</v>
      </c>
      <c r="P72" t="s">
        <v>205</v>
      </c>
      <c r="Q72">
        <v>1</v>
      </c>
      <c r="X72">
        <v>0.3</v>
      </c>
      <c r="Y72">
        <v>0</v>
      </c>
      <c r="Z72">
        <v>84.82</v>
      </c>
      <c r="AA72">
        <v>22.85</v>
      </c>
      <c r="AB72">
        <v>0</v>
      </c>
      <c r="AC72">
        <v>0</v>
      </c>
      <c r="AD72">
        <v>1</v>
      </c>
      <c r="AE72">
        <v>0</v>
      </c>
      <c r="AF72" t="s">
        <v>294</v>
      </c>
      <c r="AG72">
        <v>0.345</v>
      </c>
      <c r="AH72">
        <v>2</v>
      </c>
      <c r="AI72">
        <v>18916639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ROW(Source!A181)</f>
        <v>181</v>
      </c>
      <c r="B73">
        <v>18916651</v>
      </c>
      <c r="C73">
        <v>18916633</v>
      </c>
      <c r="D73">
        <v>7230993</v>
      </c>
      <c r="E73">
        <v>1</v>
      </c>
      <c r="F73">
        <v>1</v>
      </c>
      <c r="G73">
        <v>7157832</v>
      </c>
      <c r="H73">
        <v>2</v>
      </c>
      <c r="I73" t="s">
        <v>558</v>
      </c>
      <c r="J73" t="s">
        <v>559</v>
      </c>
      <c r="K73" t="s">
        <v>560</v>
      </c>
      <c r="L73">
        <v>1368</v>
      </c>
      <c r="N73">
        <v>1011</v>
      </c>
      <c r="O73" t="s">
        <v>205</v>
      </c>
      <c r="P73" t="s">
        <v>205</v>
      </c>
      <c r="Q73">
        <v>1</v>
      </c>
      <c r="X73">
        <v>0.3</v>
      </c>
      <c r="Y73">
        <v>0</v>
      </c>
      <c r="Z73">
        <v>124.6</v>
      </c>
      <c r="AA73">
        <v>28.4</v>
      </c>
      <c r="AB73">
        <v>0</v>
      </c>
      <c r="AC73">
        <v>0</v>
      </c>
      <c r="AD73">
        <v>1</v>
      </c>
      <c r="AE73">
        <v>0</v>
      </c>
      <c r="AF73" t="s">
        <v>294</v>
      </c>
      <c r="AG73">
        <v>0.345</v>
      </c>
      <c r="AH73">
        <v>2</v>
      </c>
      <c r="AI73">
        <v>18916640</v>
      </c>
      <c r="AJ73">
        <v>72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ROW(Source!A181)</f>
        <v>181</v>
      </c>
      <c r="B74">
        <v>18916652</v>
      </c>
      <c r="C74">
        <v>18916633</v>
      </c>
      <c r="D74">
        <v>7230966</v>
      </c>
      <c r="E74">
        <v>1</v>
      </c>
      <c r="F74">
        <v>1</v>
      </c>
      <c r="G74">
        <v>7157832</v>
      </c>
      <c r="H74">
        <v>2</v>
      </c>
      <c r="I74" t="s">
        <v>561</v>
      </c>
      <c r="J74" t="s">
        <v>562</v>
      </c>
      <c r="K74" t="s">
        <v>563</v>
      </c>
      <c r="L74">
        <v>1368</v>
      </c>
      <c r="N74">
        <v>1011</v>
      </c>
      <c r="O74" t="s">
        <v>205</v>
      </c>
      <c r="P74" t="s">
        <v>205</v>
      </c>
      <c r="Q74">
        <v>1</v>
      </c>
      <c r="X74">
        <v>0.3</v>
      </c>
      <c r="Y74">
        <v>0</v>
      </c>
      <c r="Z74">
        <v>88.4</v>
      </c>
      <c r="AA74">
        <v>23.18</v>
      </c>
      <c r="AB74">
        <v>0</v>
      </c>
      <c r="AC74">
        <v>0</v>
      </c>
      <c r="AD74">
        <v>1</v>
      </c>
      <c r="AE74">
        <v>0</v>
      </c>
      <c r="AF74" t="s">
        <v>294</v>
      </c>
      <c r="AG74">
        <v>0.345</v>
      </c>
      <c r="AH74">
        <v>2</v>
      </c>
      <c r="AI74">
        <v>18916641</v>
      </c>
      <c r="AJ74">
        <v>73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ROW(Source!A181)</f>
        <v>181</v>
      </c>
      <c r="B75">
        <v>18916653</v>
      </c>
      <c r="C75">
        <v>18916633</v>
      </c>
      <c r="D75">
        <v>7230967</v>
      </c>
      <c r="E75">
        <v>1</v>
      </c>
      <c r="F75">
        <v>1</v>
      </c>
      <c r="G75">
        <v>7157832</v>
      </c>
      <c r="H75">
        <v>2</v>
      </c>
      <c r="I75" t="s">
        <v>527</v>
      </c>
      <c r="J75" t="s">
        <v>528</v>
      </c>
      <c r="K75" t="s">
        <v>529</v>
      </c>
      <c r="L75">
        <v>1368</v>
      </c>
      <c r="N75">
        <v>1011</v>
      </c>
      <c r="O75" t="s">
        <v>205</v>
      </c>
      <c r="P75" t="s">
        <v>205</v>
      </c>
      <c r="Q75">
        <v>1</v>
      </c>
      <c r="X75">
        <v>0.9</v>
      </c>
      <c r="Y75">
        <v>0</v>
      </c>
      <c r="Z75">
        <v>178.02</v>
      </c>
      <c r="AA75">
        <v>23.5</v>
      </c>
      <c r="AB75">
        <v>0</v>
      </c>
      <c r="AC75">
        <v>0</v>
      </c>
      <c r="AD75">
        <v>1</v>
      </c>
      <c r="AE75">
        <v>0</v>
      </c>
      <c r="AF75" t="s">
        <v>294</v>
      </c>
      <c r="AG75">
        <v>1.035</v>
      </c>
      <c r="AH75">
        <v>2</v>
      </c>
      <c r="AI75">
        <v>18916642</v>
      </c>
      <c r="AJ75">
        <v>74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ROW(Source!A181)</f>
        <v>181</v>
      </c>
      <c r="B76">
        <v>18916654</v>
      </c>
      <c r="C76">
        <v>18916633</v>
      </c>
      <c r="D76">
        <v>7235091</v>
      </c>
      <c r="E76">
        <v>1</v>
      </c>
      <c r="F76">
        <v>1</v>
      </c>
      <c r="G76">
        <v>7157832</v>
      </c>
      <c r="H76">
        <v>3</v>
      </c>
      <c r="I76" t="s">
        <v>564</v>
      </c>
      <c r="J76" t="s">
        <v>565</v>
      </c>
      <c r="K76" t="s">
        <v>566</v>
      </c>
      <c r="L76">
        <v>1348</v>
      </c>
      <c r="N76">
        <v>1009</v>
      </c>
      <c r="O76" t="s">
        <v>120</v>
      </c>
      <c r="P76" t="s">
        <v>120</v>
      </c>
      <c r="Q76">
        <v>1000</v>
      </c>
      <c r="X76">
        <v>0.04</v>
      </c>
      <c r="Y76">
        <v>1445.87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0.04</v>
      </c>
      <c r="AH76">
        <v>2</v>
      </c>
      <c r="AI76">
        <v>18916643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ROW(Source!A181)</f>
        <v>181</v>
      </c>
      <c r="B77">
        <v>18916655</v>
      </c>
      <c r="C77">
        <v>18916633</v>
      </c>
      <c r="D77">
        <v>7178138</v>
      </c>
      <c r="E77">
        <v>7157832</v>
      </c>
      <c r="F77">
        <v>1</v>
      </c>
      <c r="G77">
        <v>7157832</v>
      </c>
      <c r="H77">
        <v>3</v>
      </c>
      <c r="I77" t="s">
        <v>592</v>
      </c>
      <c r="K77" t="s">
        <v>593</v>
      </c>
      <c r="L77">
        <v>1348</v>
      </c>
      <c r="N77">
        <v>1009</v>
      </c>
      <c r="O77" t="s">
        <v>120</v>
      </c>
      <c r="P77" t="s">
        <v>120</v>
      </c>
      <c r="Q77">
        <v>1000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G77">
        <v>0</v>
      </c>
      <c r="AH77">
        <v>3</v>
      </c>
      <c r="AI77">
        <v>-1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ROW(Source!A183)</f>
        <v>183</v>
      </c>
      <c r="B78">
        <v>18916663</v>
      </c>
      <c r="C78">
        <v>18916657</v>
      </c>
      <c r="D78">
        <v>7157835</v>
      </c>
      <c r="E78">
        <v>7157832</v>
      </c>
      <c r="F78">
        <v>1</v>
      </c>
      <c r="G78">
        <v>7157832</v>
      </c>
      <c r="H78">
        <v>1</v>
      </c>
      <c r="I78" t="s">
        <v>487</v>
      </c>
      <c r="K78" t="s">
        <v>488</v>
      </c>
      <c r="L78">
        <v>1191</v>
      </c>
      <c r="N78">
        <v>1013</v>
      </c>
      <c r="O78" t="s">
        <v>489</v>
      </c>
      <c r="P78" t="s">
        <v>489</v>
      </c>
      <c r="Q78">
        <v>1</v>
      </c>
      <c r="X78">
        <v>3.31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 t="s">
        <v>294</v>
      </c>
      <c r="AG78">
        <v>3.8064999999999998</v>
      </c>
      <c r="AH78">
        <v>2</v>
      </c>
      <c r="AI78">
        <v>18916658</v>
      </c>
      <c r="AJ78">
        <v>77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ROW(Source!A183)</f>
        <v>183</v>
      </c>
      <c r="B79">
        <v>18916664</v>
      </c>
      <c r="C79">
        <v>18916657</v>
      </c>
      <c r="D79">
        <v>7231426</v>
      </c>
      <c r="E79">
        <v>1</v>
      </c>
      <c r="F79">
        <v>1</v>
      </c>
      <c r="G79">
        <v>7157832</v>
      </c>
      <c r="H79">
        <v>2</v>
      </c>
      <c r="I79" t="s">
        <v>567</v>
      </c>
      <c r="J79" t="s">
        <v>568</v>
      </c>
      <c r="K79" t="s">
        <v>569</v>
      </c>
      <c r="L79">
        <v>1368</v>
      </c>
      <c r="N79">
        <v>1011</v>
      </c>
      <c r="O79" t="s">
        <v>205</v>
      </c>
      <c r="P79" t="s">
        <v>205</v>
      </c>
      <c r="Q79">
        <v>1</v>
      </c>
      <c r="X79">
        <v>0.23</v>
      </c>
      <c r="Y79">
        <v>0</v>
      </c>
      <c r="Z79">
        <v>79.58</v>
      </c>
      <c r="AA79">
        <v>19.57</v>
      </c>
      <c r="AB79">
        <v>0</v>
      </c>
      <c r="AC79">
        <v>0</v>
      </c>
      <c r="AD79">
        <v>1</v>
      </c>
      <c r="AE79">
        <v>0</v>
      </c>
      <c r="AF79" t="s">
        <v>294</v>
      </c>
      <c r="AG79">
        <v>0.2645</v>
      </c>
      <c r="AH79">
        <v>2</v>
      </c>
      <c r="AI79">
        <v>18916659</v>
      </c>
      <c r="AJ79">
        <v>78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ROW(Source!A183)</f>
        <v>183</v>
      </c>
      <c r="B80">
        <v>18916665</v>
      </c>
      <c r="C80">
        <v>18916657</v>
      </c>
      <c r="D80">
        <v>7231063</v>
      </c>
      <c r="E80">
        <v>1</v>
      </c>
      <c r="F80">
        <v>1</v>
      </c>
      <c r="G80">
        <v>7157832</v>
      </c>
      <c r="H80">
        <v>2</v>
      </c>
      <c r="I80" t="s">
        <v>570</v>
      </c>
      <c r="J80" t="s">
        <v>571</v>
      </c>
      <c r="K80" t="s">
        <v>572</v>
      </c>
      <c r="L80">
        <v>1368</v>
      </c>
      <c r="N80">
        <v>1011</v>
      </c>
      <c r="O80" t="s">
        <v>205</v>
      </c>
      <c r="P80" t="s">
        <v>205</v>
      </c>
      <c r="Q80">
        <v>1</v>
      </c>
      <c r="X80">
        <v>0.21</v>
      </c>
      <c r="Y80">
        <v>0</v>
      </c>
      <c r="Z80">
        <v>2.06</v>
      </c>
      <c r="AA80">
        <v>0.09</v>
      </c>
      <c r="AB80">
        <v>0</v>
      </c>
      <c r="AC80">
        <v>0</v>
      </c>
      <c r="AD80">
        <v>1</v>
      </c>
      <c r="AE80">
        <v>0</v>
      </c>
      <c r="AF80" t="s">
        <v>294</v>
      </c>
      <c r="AG80">
        <v>0.24149999999999996</v>
      </c>
      <c r="AH80">
        <v>2</v>
      </c>
      <c r="AI80">
        <v>18916660</v>
      </c>
      <c r="AJ80">
        <v>79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ROW(Source!A183)</f>
        <v>183</v>
      </c>
      <c r="B81">
        <v>18916666</v>
      </c>
      <c r="C81">
        <v>18916657</v>
      </c>
      <c r="D81">
        <v>7158356</v>
      </c>
      <c r="E81">
        <v>7157832</v>
      </c>
      <c r="F81">
        <v>1</v>
      </c>
      <c r="G81">
        <v>7157832</v>
      </c>
      <c r="H81">
        <v>3</v>
      </c>
      <c r="I81" t="s">
        <v>594</v>
      </c>
      <c r="K81" t="s">
        <v>595</v>
      </c>
      <c r="L81">
        <v>1348</v>
      </c>
      <c r="N81">
        <v>1009</v>
      </c>
      <c r="O81" t="s">
        <v>120</v>
      </c>
      <c r="P81" t="s">
        <v>120</v>
      </c>
      <c r="Q81">
        <v>1000</v>
      </c>
      <c r="X81">
        <v>0.0021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0.0021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ROW(Source!A183)</f>
        <v>183</v>
      </c>
      <c r="B82">
        <v>18916667</v>
      </c>
      <c r="C82">
        <v>18916657</v>
      </c>
      <c r="D82">
        <v>7178408</v>
      </c>
      <c r="E82">
        <v>7157832</v>
      </c>
      <c r="F82">
        <v>1</v>
      </c>
      <c r="G82">
        <v>7157832</v>
      </c>
      <c r="H82">
        <v>3</v>
      </c>
      <c r="I82" t="s">
        <v>596</v>
      </c>
      <c r="K82" t="s">
        <v>597</v>
      </c>
      <c r="L82">
        <v>1339</v>
      </c>
      <c r="N82">
        <v>1007</v>
      </c>
      <c r="O82" t="s">
        <v>34</v>
      </c>
      <c r="P82" t="s">
        <v>34</v>
      </c>
      <c r="Q82">
        <v>1</v>
      </c>
      <c r="X82">
        <v>1.02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1.02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ROW(Source!A186)</f>
        <v>186</v>
      </c>
      <c r="B83">
        <v>18916676</v>
      </c>
      <c r="C83">
        <v>18916670</v>
      </c>
      <c r="D83">
        <v>7157835</v>
      </c>
      <c r="E83">
        <v>7157832</v>
      </c>
      <c r="F83">
        <v>1</v>
      </c>
      <c r="G83">
        <v>7157832</v>
      </c>
      <c r="H83">
        <v>1</v>
      </c>
      <c r="I83" t="s">
        <v>487</v>
      </c>
      <c r="K83" t="s">
        <v>488</v>
      </c>
      <c r="L83">
        <v>1191</v>
      </c>
      <c r="N83">
        <v>1013</v>
      </c>
      <c r="O83" t="s">
        <v>489</v>
      </c>
      <c r="P83" t="s">
        <v>489</v>
      </c>
      <c r="Q83">
        <v>1</v>
      </c>
      <c r="X83">
        <v>2.26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F83" t="s">
        <v>294</v>
      </c>
      <c r="AG83">
        <v>2.5989999999999998</v>
      </c>
      <c r="AH83">
        <v>2</v>
      </c>
      <c r="AI83">
        <v>18916671</v>
      </c>
      <c r="AJ83">
        <v>82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ROW(Source!A186)</f>
        <v>186</v>
      </c>
      <c r="B84">
        <v>18916679</v>
      </c>
      <c r="C84">
        <v>18916670</v>
      </c>
      <c r="D84">
        <v>7159942</v>
      </c>
      <c r="E84">
        <v>7157832</v>
      </c>
      <c r="F84">
        <v>1</v>
      </c>
      <c r="G84">
        <v>7157832</v>
      </c>
      <c r="H84">
        <v>2</v>
      </c>
      <c r="I84" t="s">
        <v>490</v>
      </c>
      <c r="K84" t="s">
        <v>491</v>
      </c>
      <c r="L84">
        <v>1344</v>
      </c>
      <c r="N84">
        <v>1008</v>
      </c>
      <c r="O84" t="s">
        <v>492</v>
      </c>
      <c r="P84" t="s">
        <v>492</v>
      </c>
      <c r="Q84">
        <v>1</v>
      </c>
      <c r="X84">
        <v>5.96</v>
      </c>
      <c r="Y84">
        <v>0</v>
      </c>
      <c r="Z84">
        <v>1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294</v>
      </c>
      <c r="AG84">
        <v>6.853999999999999</v>
      </c>
      <c r="AH84">
        <v>2</v>
      </c>
      <c r="AI84">
        <v>18916674</v>
      </c>
      <c r="AJ84">
        <v>83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ROW(Source!A186)</f>
        <v>186</v>
      </c>
      <c r="B85">
        <v>18916677</v>
      </c>
      <c r="C85">
        <v>18916670</v>
      </c>
      <c r="D85">
        <v>7230811</v>
      </c>
      <c r="E85">
        <v>1</v>
      </c>
      <c r="F85">
        <v>1</v>
      </c>
      <c r="G85">
        <v>7157832</v>
      </c>
      <c r="H85">
        <v>2</v>
      </c>
      <c r="I85" t="s">
        <v>495</v>
      </c>
      <c r="J85" t="s">
        <v>496</v>
      </c>
      <c r="K85" t="s">
        <v>497</v>
      </c>
      <c r="L85">
        <v>1368</v>
      </c>
      <c r="N85">
        <v>1011</v>
      </c>
      <c r="O85" t="s">
        <v>205</v>
      </c>
      <c r="P85" t="s">
        <v>205</v>
      </c>
      <c r="Q85">
        <v>1</v>
      </c>
      <c r="X85">
        <v>0.65</v>
      </c>
      <c r="Y85">
        <v>0</v>
      </c>
      <c r="Z85">
        <v>102.11</v>
      </c>
      <c r="AA85">
        <v>30.03</v>
      </c>
      <c r="AB85">
        <v>0</v>
      </c>
      <c r="AC85">
        <v>0</v>
      </c>
      <c r="AD85">
        <v>1</v>
      </c>
      <c r="AE85">
        <v>0</v>
      </c>
      <c r="AF85" t="s">
        <v>294</v>
      </c>
      <c r="AG85">
        <v>0.7474999999999999</v>
      </c>
      <c r="AH85">
        <v>2</v>
      </c>
      <c r="AI85">
        <v>18916672</v>
      </c>
      <c r="AJ85">
        <v>84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ROW(Source!A186)</f>
        <v>186</v>
      </c>
      <c r="B86">
        <v>18916678</v>
      </c>
      <c r="C86">
        <v>18916670</v>
      </c>
      <c r="D86">
        <v>7231097</v>
      </c>
      <c r="E86">
        <v>1</v>
      </c>
      <c r="F86">
        <v>1</v>
      </c>
      <c r="G86">
        <v>7157832</v>
      </c>
      <c r="H86">
        <v>2</v>
      </c>
      <c r="I86" t="s">
        <v>573</v>
      </c>
      <c r="J86" t="s">
        <v>574</v>
      </c>
      <c r="K86" t="s">
        <v>575</v>
      </c>
      <c r="L86">
        <v>1368</v>
      </c>
      <c r="N86">
        <v>1011</v>
      </c>
      <c r="O86" t="s">
        <v>205</v>
      </c>
      <c r="P86" t="s">
        <v>205</v>
      </c>
      <c r="Q86">
        <v>1</v>
      </c>
      <c r="X86">
        <v>0.71</v>
      </c>
      <c r="Y86">
        <v>0</v>
      </c>
      <c r="Z86">
        <v>117.73</v>
      </c>
      <c r="AA86">
        <v>24.08</v>
      </c>
      <c r="AB86">
        <v>0</v>
      </c>
      <c r="AC86">
        <v>0</v>
      </c>
      <c r="AD86">
        <v>1</v>
      </c>
      <c r="AE86">
        <v>0</v>
      </c>
      <c r="AF86" t="s">
        <v>294</v>
      </c>
      <c r="AG86">
        <v>0.8164999999999999</v>
      </c>
      <c r="AH86">
        <v>2</v>
      </c>
      <c r="AI86">
        <v>18916673</v>
      </c>
      <c r="AJ86">
        <v>85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ROW(Source!A186)</f>
        <v>186</v>
      </c>
      <c r="B87">
        <v>18916680</v>
      </c>
      <c r="C87">
        <v>18916670</v>
      </c>
      <c r="D87">
        <v>9266830</v>
      </c>
      <c r="E87">
        <v>7157832</v>
      </c>
      <c r="F87">
        <v>1</v>
      </c>
      <c r="G87">
        <v>7157832</v>
      </c>
      <c r="H87">
        <v>3</v>
      </c>
      <c r="I87" t="s">
        <v>576</v>
      </c>
      <c r="K87" t="s">
        <v>577</v>
      </c>
      <c r="L87">
        <v>1348</v>
      </c>
      <c r="N87">
        <v>1009</v>
      </c>
      <c r="O87" t="s">
        <v>120</v>
      </c>
      <c r="P87" t="s">
        <v>120</v>
      </c>
      <c r="Q87">
        <v>1000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G87">
        <v>1</v>
      </c>
      <c r="AH87">
        <v>2</v>
      </c>
      <c r="AI87">
        <v>18916675</v>
      </c>
      <c r="AJ87">
        <v>86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ROW(Source!A187)</f>
        <v>187</v>
      </c>
      <c r="B88">
        <v>18916684</v>
      </c>
      <c r="C88">
        <v>18916681</v>
      </c>
      <c r="D88">
        <v>7157835</v>
      </c>
      <c r="E88">
        <v>7157832</v>
      </c>
      <c r="F88">
        <v>1</v>
      </c>
      <c r="G88">
        <v>7157832</v>
      </c>
      <c r="H88">
        <v>1</v>
      </c>
      <c r="I88" t="s">
        <v>487</v>
      </c>
      <c r="K88" t="s">
        <v>488</v>
      </c>
      <c r="L88">
        <v>1191</v>
      </c>
      <c r="N88">
        <v>1013</v>
      </c>
      <c r="O88" t="s">
        <v>489</v>
      </c>
      <c r="P88" t="s">
        <v>489</v>
      </c>
      <c r="Q88">
        <v>1</v>
      </c>
      <c r="X88">
        <v>0.65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 t="s">
        <v>294</v>
      </c>
      <c r="AG88">
        <v>0.7474999999999999</v>
      </c>
      <c r="AH88">
        <v>2</v>
      </c>
      <c r="AI88">
        <v>18916682</v>
      </c>
      <c r="AJ88">
        <v>87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ROW(Source!A187)</f>
        <v>187</v>
      </c>
      <c r="B89">
        <v>18916685</v>
      </c>
      <c r="C89">
        <v>18916681</v>
      </c>
      <c r="D89">
        <v>7231097</v>
      </c>
      <c r="E89">
        <v>1</v>
      </c>
      <c r="F89">
        <v>1</v>
      </c>
      <c r="G89">
        <v>7157832</v>
      </c>
      <c r="H89">
        <v>2</v>
      </c>
      <c r="I89" t="s">
        <v>573</v>
      </c>
      <c r="J89" t="s">
        <v>574</v>
      </c>
      <c r="K89" t="s">
        <v>575</v>
      </c>
      <c r="L89">
        <v>1368</v>
      </c>
      <c r="N89">
        <v>1011</v>
      </c>
      <c r="O89" t="s">
        <v>205</v>
      </c>
      <c r="P89" t="s">
        <v>205</v>
      </c>
      <c r="Q89">
        <v>1</v>
      </c>
      <c r="X89">
        <v>0.71</v>
      </c>
      <c r="Y89">
        <v>0</v>
      </c>
      <c r="Z89">
        <v>117.73</v>
      </c>
      <c r="AA89">
        <v>24.08</v>
      </c>
      <c r="AB89">
        <v>0</v>
      </c>
      <c r="AC89">
        <v>0</v>
      </c>
      <c r="AD89">
        <v>1</v>
      </c>
      <c r="AE89">
        <v>0</v>
      </c>
      <c r="AF89" t="s">
        <v>294</v>
      </c>
      <c r="AG89">
        <v>0.8164999999999999</v>
      </c>
      <c r="AH89">
        <v>2</v>
      </c>
      <c r="AI89">
        <v>18916683</v>
      </c>
      <c r="AJ89">
        <v>88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ROW(Source!A188)</f>
        <v>188</v>
      </c>
      <c r="B90">
        <v>18916690</v>
      </c>
      <c r="C90">
        <v>18916686</v>
      </c>
      <c r="D90">
        <v>7157835</v>
      </c>
      <c r="E90">
        <v>7157832</v>
      </c>
      <c r="F90">
        <v>1</v>
      </c>
      <c r="G90">
        <v>7157832</v>
      </c>
      <c r="H90">
        <v>1</v>
      </c>
      <c r="I90" t="s">
        <v>487</v>
      </c>
      <c r="K90" t="s">
        <v>488</v>
      </c>
      <c r="L90">
        <v>1191</v>
      </c>
      <c r="N90">
        <v>1013</v>
      </c>
      <c r="O90" t="s">
        <v>489</v>
      </c>
      <c r="P90" t="s">
        <v>489</v>
      </c>
      <c r="Q90">
        <v>1</v>
      </c>
      <c r="X90">
        <v>11.9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 t="s">
        <v>294</v>
      </c>
      <c r="AG90">
        <v>13.684999999999999</v>
      </c>
      <c r="AH90">
        <v>2</v>
      </c>
      <c r="AI90">
        <v>18916687</v>
      </c>
      <c r="AJ90">
        <v>89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ROW(Source!A188)</f>
        <v>188</v>
      </c>
      <c r="B91">
        <v>18916691</v>
      </c>
      <c r="C91">
        <v>18916686</v>
      </c>
      <c r="D91">
        <v>7231421</v>
      </c>
      <c r="E91">
        <v>1</v>
      </c>
      <c r="F91">
        <v>1</v>
      </c>
      <c r="G91">
        <v>7157832</v>
      </c>
      <c r="H91">
        <v>2</v>
      </c>
      <c r="I91" t="s">
        <v>578</v>
      </c>
      <c r="J91" t="s">
        <v>579</v>
      </c>
      <c r="K91" t="s">
        <v>580</v>
      </c>
      <c r="L91">
        <v>1368</v>
      </c>
      <c r="N91">
        <v>1011</v>
      </c>
      <c r="O91" t="s">
        <v>205</v>
      </c>
      <c r="P91" t="s">
        <v>205</v>
      </c>
      <c r="Q91">
        <v>1</v>
      </c>
      <c r="X91">
        <v>0.028</v>
      </c>
      <c r="Y91">
        <v>0</v>
      </c>
      <c r="Z91">
        <v>74.44</v>
      </c>
      <c r="AA91">
        <v>17.59</v>
      </c>
      <c r="AB91">
        <v>0</v>
      </c>
      <c r="AC91">
        <v>0</v>
      </c>
      <c r="AD91">
        <v>1</v>
      </c>
      <c r="AE91">
        <v>0</v>
      </c>
      <c r="AF91" t="s">
        <v>294</v>
      </c>
      <c r="AG91">
        <v>0.0322</v>
      </c>
      <c r="AH91">
        <v>2</v>
      </c>
      <c r="AI91">
        <v>18916688</v>
      </c>
      <c r="AJ91">
        <v>90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ROW(Source!A188)</f>
        <v>188</v>
      </c>
      <c r="B92">
        <v>18916692</v>
      </c>
      <c r="C92">
        <v>18916686</v>
      </c>
      <c r="D92">
        <v>7159997</v>
      </c>
      <c r="E92">
        <v>7157832</v>
      </c>
      <c r="F92">
        <v>1</v>
      </c>
      <c r="G92">
        <v>7157832</v>
      </c>
      <c r="H92">
        <v>3</v>
      </c>
      <c r="I92" t="s">
        <v>598</v>
      </c>
      <c r="K92" t="s">
        <v>599</v>
      </c>
      <c r="L92">
        <v>1348</v>
      </c>
      <c r="N92">
        <v>1009</v>
      </c>
      <c r="O92" t="s">
        <v>120</v>
      </c>
      <c r="P92" t="s">
        <v>120</v>
      </c>
      <c r="Q92">
        <v>1000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G92">
        <v>0</v>
      </c>
      <c r="AH92">
        <v>3</v>
      </c>
      <c r="AI92">
        <v>-1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ROW(Source!A190)</f>
        <v>190</v>
      </c>
      <c r="B93">
        <v>18916696</v>
      </c>
      <c r="C93">
        <v>18916694</v>
      </c>
      <c r="D93">
        <v>7231140</v>
      </c>
      <c r="E93">
        <v>1</v>
      </c>
      <c r="F93">
        <v>1</v>
      </c>
      <c r="G93">
        <v>7157832</v>
      </c>
      <c r="H93">
        <v>2</v>
      </c>
      <c r="I93" t="s">
        <v>581</v>
      </c>
      <c r="J93" t="s">
        <v>582</v>
      </c>
      <c r="K93" t="s">
        <v>583</v>
      </c>
      <c r="L93">
        <v>1368</v>
      </c>
      <c r="N93">
        <v>1011</v>
      </c>
      <c r="O93" t="s">
        <v>205</v>
      </c>
      <c r="P93" t="s">
        <v>205</v>
      </c>
      <c r="Q93">
        <v>1</v>
      </c>
      <c r="X93">
        <v>340</v>
      </c>
      <c r="Y93">
        <v>0</v>
      </c>
      <c r="Z93">
        <v>7.11</v>
      </c>
      <c r="AA93">
        <v>4.19</v>
      </c>
      <c r="AB93">
        <v>0</v>
      </c>
      <c r="AC93">
        <v>0</v>
      </c>
      <c r="AD93">
        <v>1</v>
      </c>
      <c r="AE93">
        <v>0</v>
      </c>
      <c r="AF93" t="s">
        <v>294</v>
      </c>
      <c r="AG93">
        <v>390.99999999999994</v>
      </c>
      <c r="AH93">
        <v>2</v>
      </c>
      <c r="AI93">
        <v>18916695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ROW(Source!A191)</f>
        <v>191</v>
      </c>
      <c r="B94">
        <v>18916699</v>
      </c>
      <c r="C94">
        <v>18916697</v>
      </c>
      <c r="D94">
        <v>7157835</v>
      </c>
      <c r="E94">
        <v>7157832</v>
      </c>
      <c r="F94">
        <v>1</v>
      </c>
      <c r="G94">
        <v>7157832</v>
      </c>
      <c r="H94">
        <v>1</v>
      </c>
      <c r="I94" t="s">
        <v>487</v>
      </c>
      <c r="K94" t="s">
        <v>488</v>
      </c>
      <c r="L94">
        <v>1191</v>
      </c>
      <c r="N94">
        <v>1013</v>
      </c>
      <c r="O94" t="s">
        <v>489</v>
      </c>
      <c r="P94" t="s">
        <v>489</v>
      </c>
      <c r="Q94">
        <v>1</v>
      </c>
      <c r="X94">
        <v>17.5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G94">
        <v>17.5</v>
      </c>
      <c r="AH94">
        <v>2</v>
      </c>
      <c r="AI94">
        <v>18916698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ROW(Source!A238)</f>
        <v>238</v>
      </c>
      <c r="B95">
        <v>18916707</v>
      </c>
      <c r="C95">
        <v>18916704</v>
      </c>
      <c r="D95">
        <v>7157835</v>
      </c>
      <c r="E95">
        <v>7157832</v>
      </c>
      <c r="F95">
        <v>1</v>
      </c>
      <c r="G95">
        <v>7157832</v>
      </c>
      <c r="H95">
        <v>1</v>
      </c>
      <c r="I95" t="s">
        <v>487</v>
      </c>
      <c r="K95" t="s">
        <v>488</v>
      </c>
      <c r="L95">
        <v>1191</v>
      </c>
      <c r="N95">
        <v>1013</v>
      </c>
      <c r="O95" t="s">
        <v>489</v>
      </c>
      <c r="P95" t="s">
        <v>489</v>
      </c>
      <c r="Q95">
        <v>1</v>
      </c>
      <c r="X95">
        <v>0.04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G95">
        <v>0.04</v>
      </c>
      <c r="AH95">
        <v>2</v>
      </c>
      <c r="AI95">
        <v>18916705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ROW(Source!A238)</f>
        <v>238</v>
      </c>
      <c r="B96">
        <v>18916708</v>
      </c>
      <c r="C96">
        <v>18916704</v>
      </c>
      <c r="D96">
        <v>7231426</v>
      </c>
      <c r="E96">
        <v>1</v>
      </c>
      <c r="F96">
        <v>1</v>
      </c>
      <c r="G96">
        <v>7157832</v>
      </c>
      <c r="H96">
        <v>2</v>
      </c>
      <c r="I96" t="s">
        <v>567</v>
      </c>
      <c r="J96" t="s">
        <v>568</v>
      </c>
      <c r="K96" t="s">
        <v>569</v>
      </c>
      <c r="L96">
        <v>1368</v>
      </c>
      <c r="N96">
        <v>1011</v>
      </c>
      <c r="O96" t="s">
        <v>205</v>
      </c>
      <c r="P96" t="s">
        <v>205</v>
      </c>
      <c r="Q96">
        <v>1</v>
      </c>
      <c r="X96">
        <v>0.01</v>
      </c>
      <c r="Y96">
        <v>0</v>
      </c>
      <c r="Z96">
        <v>79.58</v>
      </c>
      <c r="AA96">
        <v>19.57</v>
      </c>
      <c r="AB96">
        <v>0</v>
      </c>
      <c r="AC96">
        <v>0</v>
      </c>
      <c r="AD96">
        <v>1</v>
      </c>
      <c r="AE96">
        <v>0</v>
      </c>
      <c r="AG96">
        <v>0.01</v>
      </c>
      <c r="AH96">
        <v>2</v>
      </c>
      <c r="AI96">
        <v>18916706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Osadchiy Sergey</dc:creator>
  <cp:keywords/>
  <dc:description/>
  <cp:lastModifiedBy>Osadchiy Sergey</cp:lastModifiedBy>
  <cp:lastPrinted>2013-09-25T08:52:09Z</cp:lastPrinted>
  <dcterms:created xsi:type="dcterms:W3CDTF">2013-12-02T09:05:49Z</dcterms:created>
  <dcterms:modified xsi:type="dcterms:W3CDTF">2013-12-02T09:05:49Z</dcterms:modified>
  <cp:category/>
  <cp:version/>
  <cp:contentType/>
  <cp:contentStatus/>
</cp:coreProperties>
</file>