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440" windowHeight="10890" tabRatio="861" activeTab="6"/>
  </bookViews>
  <sheets>
    <sheet name="Прибыль" sheetId="1" r:id="rId1"/>
    <sheet name="Накладные и общехозяйственные" sheetId="2" r:id="rId2"/>
    <sheet name="ЦФО 1" sheetId="3" r:id="rId3"/>
    <sheet name="ЦФО 2" sheetId="4" r:id="rId4"/>
    <sheet name="ЦФО 3" sheetId="5" r:id="rId5"/>
    <sheet name="Инвестиции" sheetId="6" r:id="rId6"/>
    <sheet name="Прочие доходы и расходы" sheetId="7" r:id="rId7"/>
  </sheets>
  <definedNames>
    <definedName name="_xlnm.Print_Area" localSheetId="1">'Накладные и общехозяйственные'!$A$29:$N$55</definedName>
    <definedName name="_xlnm.Print_Area" localSheetId="6">'Прочие доходы и расходы'!$A$1:$N$14</definedName>
    <definedName name="_xlnm.Print_Area" localSheetId="3">'ЦФО 2'!$A$1:$N$47</definedName>
    <definedName name="_xlnm.Print_Area" localSheetId="4">'ЦФО 3'!$A$1:$N$54</definedName>
  </definedNames>
  <calcPr fullCalcOnLoad="1"/>
</workbook>
</file>

<file path=xl/comments1.xml><?xml version="1.0" encoding="utf-8"?>
<comments xmlns="http://schemas.openxmlformats.org/spreadsheetml/2006/main">
  <authors>
    <author>Дорошенко А.Г.</author>
  </authors>
  <commentList>
    <comment ref="A3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% обналички</t>
        </r>
      </text>
    </comment>
    <comment ref="B3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91
НГ - в группе Налоговые расходы (% обналички)</t>
        </r>
      </text>
    </comment>
    <comment ref="B3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91
НГ - в группе НДС</t>
        </r>
      </text>
    </comment>
    <comment ref="B3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91
НГ - в группе Налог на имущество</t>
        </r>
      </text>
    </comment>
    <comment ref="B3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91
НГ - в группе Транспортный налог</t>
        </r>
      </text>
    </comment>
    <comment ref="B4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91
НГ - в группе Налог на прибыль</t>
        </r>
      </text>
    </comment>
    <comment ref="B2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91
НГ - в группе Проценты по лизингу</t>
        </r>
      </text>
    </comment>
    <comment ref="B2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91
НГ - в группе Проценты по кредитам и займам</t>
        </r>
      </text>
    </comment>
  </commentList>
</comments>
</file>

<file path=xl/comments2.xml><?xml version="1.0" encoding="utf-8"?>
<comments xmlns="http://schemas.openxmlformats.org/spreadsheetml/2006/main">
  <authors>
    <author>Дорошенко А.Г.</author>
  </authors>
  <commentList>
    <comment ref="B2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НАКЛАДНЫЕ РАСХОДЫ
ст.затрат - в группе Зарплата ИТР</t>
        </r>
      </text>
    </comment>
    <comment ref="B1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НАКЛАДНЫЕ РАСХОДЫ
ст.затрат - в группе Автостоянка (легковые а/м)-Фиат</t>
        </r>
      </text>
    </comment>
    <comment ref="B1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НАКЛАДНЫЕ РАСХОДЫ
ст.затрат - в группе ГСМ (Фиат)</t>
        </r>
      </text>
    </comment>
    <comment ref="B5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ОБЩЕХОЗЯЙСТВЕННЫЕ РАСХОДЫ
ст.затрат - в группе Отпускные, больничные и компенсации (АУП)</t>
        </r>
      </text>
    </comment>
    <comment ref="B5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ОБЩЕХОЗЯЙСТВЕННЫЕ РАСХОДЫ
ст.затрат - в группе Зарплата и налоги (АУП)</t>
        </r>
      </text>
    </comment>
    <comment ref="B4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ОБЩЕХОЗЯЙСТВЕННЫЕ РАСХОДЫ
ст.затрат - в группе Обязательные расходы (почтовые услуги, лицензии, пошлины)</t>
        </r>
      </text>
    </comment>
    <comment ref="B4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ОБЩЕХОЗЯЙСТВЕННЫЕ РАСХОДЫ
ст.затрат - в группе Реклама</t>
        </r>
      </text>
    </comment>
    <comment ref="B3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ОБЩЕХОЗЯЙСТВЕННЫЕ РАСХОДЫ
ст.затрат - в группе Содержание административного персонала, канц.товары, подписка, страховка</t>
        </r>
      </text>
    </comment>
    <comment ref="B4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ОБЩЕХОЗЯЙСТВЕННЫЕ РАСХОДЫ
ст.затрат - в группе Услуги банка (РКО)</t>
        </r>
      </text>
    </comment>
    <comment ref="B3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ОБЩЕХОЗЯЙСТВЕННЫЕ РАСХОДЫ
ст.затрат - в группе Услуги связи</t>
        </r>
      </text>
    </comment>
    <comment ref="B4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ОБЩЕХОЗЯЙСТВЕННЫЕ РАСХОДЫ
ст.затрат - в группе Зарплата АУП</t>
        </r>
      </text>
    </comment>
    <comment ref="B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сч23
НГ - в группе НАКЛАДНЫЕ РАСХОДЫ
ст.затрат - в группе Накладные-ФИАТ</t>
        </r>
      </text>
    </comment>
    <comment ref="B1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 Дт сч23
НГ - в группе НАКЛАДНЫЕ РАСХОДЫ
ст.затрат - в группе Накладные Ленд Ровер</t>
        </r>
      </text>
    </comment>
  </commentList>
</comments>
</file>

<file path=xl/comments3.xml><?xml version="1.0" encoding="utf-8"?>
<comments xmlns="http://schemas.openxmlformats.org/spreadsheetml/2006/main">
  <authors>
    <author>Дорошенко А.Г.</author>
  </authors>
  <commentList>
    <comment ref="B3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ГСМ (цементовозы)</t>
        </r>
      </text>
    </comment>
    <comment ref="B2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Ремонт, запчасти, масла, материалы (цементовозы)</t>
        </r>
      </text>
    </comment>
    <comment ref="B2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Ремонт, содержание и эксплуатация цементовозов</t>
        </r>
      </text>
    </comment>
    <comment ref="B2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Содержание и эксплуатация автотранспорта (страховка, техосмотр, JPS и т.д) - цементовозы</t>
        </r>
      </text>
    </comment>
    <comment ref="B3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Зарплата (водители) - цементовозы</t>
        </r>
      </text>
    </comment>
    <comment ref="B4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Зарплата и налоги (цементовозы)</t>
        </r>
      </text>
    </comment>
    <comment ref="B4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Отпускные, больничные, компенсации (цементовозы)</t>
        </r>
      </text>
    </comment>
    <comment ref="B4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Премии, поощрения (цементовозы)</t>
        </r>
      </text>
    </comment>
    <comment ref="B2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Услуги производственного характера (цементовозы)</t>
        </r>
      </text>
    </comment>
    <comment ref="B4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Накладные расходы (в доле по пробегу)</t>
        </r>
      </text>
    </comment>
    <comment ref="B4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Общехозяйственные расходы (в доле по пробегу)</t>
        </r>
      </text>
    </comment>
    <comment ref="B5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Амортизация</t>
        </r>
      </text>
    </comment>
    <comment ref="B5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Амортизация (тягачи) - в доле по пробегу</t>
        </r>
      </text>
    </comment>
    <comment ref="B5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Амортизация (накладные)</t>
        </r>
      </text>
    </comment>
    <comment ref="B5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списке Амортизация, Амортизация (накладные), Амортизация (тягачи) - в доле по пробегу</t>
        </r>
      </text>
    </comment>
    <comment ref="B3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Покупка шин (п/пр.цементовозы)</t>
        </r>
      </text>
    </comment>
    <comment ref="B3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Услуги диспетчера (% со сделки) - цементовозы</t>
        </r>
      </text>
    </comment>
    <comment ref="B5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Кт90-Дт90
НГ - в группе П/ПРИЦЕПЫ-ЦЕМЕНТОВОЗЫ</t>
        </r>
      </text>
    </comment>
    <comment ref="B7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Ед.изменения
Настройки:
Параметры: Период отчета: 01.11.2012 - 30.11.2012
Отбор: "Услуга В группе ""Услуги цементовозов"" И
Ед измерения Равно ""тн"""
 </t>
        </r>
      </text>
    </comment>
    <comment ref="B9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Ед.изменения
Настройки:
Параметры: Период отчета: 01.11.2012 - 30.11.2012
Отбор: "Услуга В группе ""Услуги цементовозов"" И
Ед измерения Равно ""час"""
</t>
        </r>
      </text>
    </comment>
    <comment ref="B13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цементовозов"" И
Контрагент Равно ""Новые Дороги"""</t>
        </r>
      </text>
    </comment>
    <comment ref="B15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цементовозов"" И
Контрагент Равно ""Бетонный завод"" И
Ед измерения Равно ""тн"""</t>
        </r>
      </text>
    </comment>
    <comment ref="B16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цементовозов"" И
Контрагент Равно ""ПСМ"" И
Ед измерения Равно ""тн"""</t>
        </r>
      </text>
    </comment>
    <comment ref="B17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цементовозов"" И
Контрагент В группе ""Контрагенты сторонние"" И
Ед измерения Равно ""тн"""</t>
        </r>
      </text>
    </comment>
    <comment ref="B20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цементовозов"" И
Контрагент В группе ""Новые Дороги"" И
Ед измерения Равно ""час"""
 </t>
        </r>
      </text>
    </comment>
    <comment ref="B22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цементовозов"" И
Контрагент В группе ""Бетонный завод"" И
Ед измерения Равно ""час"""</t>
        </r>
      </text>
    </comment>
    <comment ref="B23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цементовозов"" И
Контрагент В группе ""ПСМ"" И
Ед измерения Равно ""час"""
 </t>
        </r>
      </text>
    </comment>
    <comment ref="B24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цементовозов"" И
Контрагент В группе ""Контрагенты сторонние"" И
Ед измерения Равно ""час"""
 </t>
        </r>
      </text>
    </comment>
    <comment ref="B8" authorId="0">
      <text>
        <r>
          <rPr>
            <b/>
            <sz val="9"/>
            <rFont val="Tahoma"/>
            <family val="0"/>
          </rPr>
          <t>Дорошенко А.Г.:</t>
        </r>
        <r>
          <rPr>
            <sz val="9"/>
            <rFont val="Tahoma"/>
            <family val="0"/>
          </rPr>
          <t xml:space="preserve">
Из реестра</t>
        </r>
      </text>
    </comment>
    <comment ref="B3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Затраты (тягачи) - в доле по пробегу</t>
        </r>
      </text>
    </comment>
    <comment ref="B3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Затраты (тягачи и п/прицепы) - в доле по пробегу</t>
        </r>
      </text>
    </comment>
    <comment ref="B3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Командировочные расходы (цементовозы)</t>
        </r>
      </text>
    </comment>
    <comment ref="B3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Аренда боксов прицепов (стоянка) - цементовозы</t>
        </r>
      </text>
    </comment>
    <comment ref="B3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Весовой контроль (цементовозы)</t>
        </r>
      </text>
    </comment>
    <comment ref="B3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П/ПРИЦЕПЫ-ЦЕМЕНТОВОЗЫ
ст.затрат - в группе Штраф ГИБДД (цементовозы)</t>
        </r>
      </text>
    </comment>
  </commentList>
</comments>
</file>

<file path=xl/comments4.xml><?xml version="1.0" encoding="utf-8"?>
<comments xmlns="http://schemas.openxmlformats.org/spreadsheetml/2006/main">
  <authors>
    <author>Дорошенко А.Г.</author>
  </authors>
  <commentList>
    <comment ref="B1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Прямые затраты (трал, самосвал)</t>
        </r>
      </text>
    </comment>
    <comment ref="B1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Услуги производственного характера (трал, самосвал)</t>
        </r>
      </text>
    </comment>
    <comment ref="B1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Ремонт, содержание и эксплуатация трала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Дорошенко А
</t>
        </r>
        <r>
          <rPr>
            <sz val="9"/>
            <rFont val="Tahoma"/>
            <family val="2"/>
          </rPr>
          <t>Дт 20.01
НГ - в группе П/ПРИЦЕП-ТРАЛ
ст.затрат - в группе Ремонт, запчасти, масла, материалы (трал, самосвал)</t>
        </r>
      </text>
    </comment>
    <comment ref="B1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Содержание и эксплуатация автотранспорта (страховка, техосмотр, JPS и т.д) - трал, самосвал</t>
        </r>
      </text>
    </comment>
    <comment ref="B2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ГСМ (трал)</t>
        </r>
      </text>
    </comment>
    <comment ref="B2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Зарплата (водители) - трал, самосвал</t>
        </r>
      </text>
    </comment>
    <comment ref="B3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Зарплата и налоги (трал, самосвал)</t>
        </r>
      </text>
    </comment>
    <comment ref="B3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Премии и поощрения (трал, самосвал)</t>
        </r>
      </text>
    </comment>
    <comment ref="B3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Отпускные, больничные, компенсации (трал, самосвал)</t>
        </r>
      </text>
    </comment>
    <comment ref="B3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Накладные расходы (в доле по пробегу)</t>
        </r>
      </text>
    </comment>
    <comment ref="B3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Общехозяйственные расходы (в доле по пробегу)</t>
        </r>
      </text>
    </comment>
    <comment ref="B4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Амортизация</t>
        </r>
      </text>
    </comment>
    <comment ref="B4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Амортизация (тягачи) - в доле по пробегу</t>
        </r>
      </text>
    </comment>
    <comment ref="B4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Амортизация (накладные)</t>
        </r>
      </text>
    </comment>
    <comment ref="B4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списке Амортизация, Амортизация (накладные), Амортизация (тягачи) - в доле по пробегу</t>
        </r>
      </text>
    </comment>
    <comment ref="B2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Покупка шин (трал, самосвал)</t>
        </r>
      </text>
    </comment>
    <comment ref="B2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Услуги диспеичера (% со сделки) - трал, самосвал</t>
        </r>
      </text>
    </comment>
    <comment ref="B4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Кт90-Дт90
НГ -  в группе П/ПРИЦЕП-ТРАЛ</t>
        </r>
      </text>
    </comment>
    <comment ref="B3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если деление на 0, то ставится Н/Д</t>
        </r>
      </text>
    </comment>
    <comment ref="B1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трала"" И
Контрагент В группе ""Новые Дороги"""</t>
        </r>
      </text>
    </comment>
    <comment ref="B1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трала"" И
Контрагент В группе ""ПСМ"""</t>
        </r>
      </text>
    </comment>
    <comment ref="B1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трала"" И
Контрагент В группе ""ПНМ ООО"""</t>
        </r>
      </text>
    </comment>
    <comment ref="B1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трала"" И
Контрагент В группе ""Контрагенты сторонние"""</t>
        </r>
      </text>
    </comment>
    <comment ref="B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Из реестра</t>
        </r>
      </text>
    </comment>
    <comment ref="B2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Затраты (тягачи) - в доле по пробегу трала, самосвала</t>
        </r>
      </text>
    </comment>
    <comment ref="B2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Затраты (тягачи и п/прицепы) - в доле по пробегу трала, самосвала</t>
        </r>
      </text>
    </comment>
    <comment ref="B2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Командировочные расходы (трал, самосвал)</t>
        </r>
      </text>
    </comment>
    <comment ref="B2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Аренда боксов (п/пр. трал, самосвал)</t>
        </r>
      </text>
    </comment>
    <comment ref="B2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Весовой контроль (трал, самосвал)</t>
        </r>
      </text>
    </comment>
    <comment ref="B2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П/ПРИЦЕП-ТРАЛ
ст.затрат - в группе Штрафы ГИБДД (трал, самосвал)</t>
        </r>
      </text>
    </comment>
  </commentList>
</comments>
</file>

<file path=xl/comments5.xml><?xml version="1.0" encoding="utf-8"?>
<comments xmlns="http://schemas.openxmlformats.org/spreadsheetml/2006/main">
  <authors>
    <author>Дорошенко А.Г.</author>
  </authors>
  <commentList>
    <comment ref="B2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Услуги производственного характера (контейнеровозы)</t>
        </r>
      </text>
    </comment>
    <comment ref="B2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Ремонт, содержание и эксплуатация (контейнеровозы)</t>
        </r>
      </text>
    </comment>
    <comment ref="B2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Ремонт, з/части, масла и материалы (контейнеровозы)</t>
        </r>
      </text>
    </comment>
    <comment ref="B2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Содержание и эксплуатация контейнеровозов (страховка, техосмотр, JPS и т.п.) - контейнеровозы</t>
        </r>
      </text>
    </comment>
    <comment ref="B3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Командировочные расходы (контейнеровозы)</t>
        </r>
      </text>
    </comment>
    <comment ref="B2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ГСМ (контейнеровозы)</t>
        </r>
      </text>
    </comment>
    <comment ref="B3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Услуги диспетчера (% со сделки) - контейнеровозы</t>
        </r>
      </text>
    </comment>
    <comment ref="B3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Зарплата (водители) - контейнеровозы</t>
        </r>
      </text>
    </comment>
    <comment ref="B3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Зарплата и налоги (контейнеровозы)</t>
        </r>
      </text>
    </comment>
    <comment ref="B3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Премии и поощрения (контейнеровозы)</t>
        </r>
      </text>
    </comment>
    <comment ref="B3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Отпускные, больничные, компенсации (контейнеровозы)</t>
        </r>
      </text>
    </comment>
    <comment ref="B4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Накладные расходы (в доле по пробегу)</t>
        </r>
      </text>
    </comment>
    <comment ref="B4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Общехозяйственные расходы (в доле по пробегу)</t>
        </r>
      </text>
    </comment>
    <comment ref="B2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Прямые затраты (контейнеровозы)</t>
        </r>
      </text>
    </comment>
    <comment ref="B4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Амортизация</t>
        </r>
      </text>
    </comment>
    <comment ref="B5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Амортизация (тягачи) - в доле по пробегу</t>
        </r>
      </text>
    </comment>
    <comment ref="B5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Амортизация (накладные)</t>
        </r>
      </text>
    </comment>
    <comment ref="B5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Кт90-Дт90
НГ - в группе П/ПРИЦЕПЫ-КОНТЕЙНЕРОВОЗЫ</t>
        </r>
      </text>
    </comment>
    <comment ref="B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Настройки
 - Ед.изменения
Параметры: Период отчета: 01.11.2012 - 30.11.2012
Отбор: "Услуга В группе ""Услуги контейнеровозов"" И
Ед измерения Равно ""час"""</t>
        </r>
      </text>
    </comment>
    <comment ref="B1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контейнеровозов"" И
Контрагент В группе ""Новые Дороги"" И
Ед измерения Равно ""рейс"""</t>
        </r>
      </text>
    </comment>
    <comment ref="B1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контейнеровозов"" И
Контрагент В группе ""ПСМ"" И
Ед измерения Равно ""рейс"""</t>
        </r>
      </text>
    </comment>
    <comment ref="B15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контейнеровозов"" И
Контрагент В группе ""Контрагенты сторонние"" И
Ед измерения Равно ""рейс"""
 </t>
        </r>
      </text>
    </comment>
    <comment ref="B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Из реестра</t>
        </r>
      </text>
    </comment>
    <comment ref="B1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контейнеровозов"" И
Контрагент В группе ""Новые Дороги"" И
Ед измерения Равно ""час"""</t>
        </r>
      </text>
    </comment>
    <comment ref="B2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контейнеровозов"" И
Контрагент В группе ""Поместье"" И
Ед измерения Равно ""час"""</t>
        </r>
      </text>
    </comment>
    <comment ref="B21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Отчет по реестру (с ед.изменений)
Насторойки
 - Услуги
   - Контрагент
     - Ед.измерения
Параметры: Период отчета: 01.11.2012 - 30.11.2012
Отбор: "Услуга В группе ""Услуги контейнеровозов"" И
Контрагент В группе ""Контрагенты сторонние"" И
Ед измерения Равно ""час"""</t>
        </r>
      </text>
    </comment>
    <comment ref="B2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Затраты (тягачи) - в доле по пробегу контейнеровозов</t>
        </r>
      </text>
    </comment>
    <comment ref="B2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Затраты (тягачи и п/прицепы) - в доле по пробегу контейнеровозов</t>
        </r>
      </text>
    </comment>
    <comment ref="B30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Покупка шин (контейнеровозы)</t>
        </r>
      </text>
    </comment>
    <comment ref="B32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Аренда бокса (п/пр.контейнеровозы)</t>
        </r>
      </text>
    </comment>
    <comment ref="B33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Весовой контроль (контейнеровозы)</t>
        </r>
      </text>
    </comment>
    <comment ref="B34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Дт 20.01
НГ - в группе П/ПРИЦЕПЫ-КОНТЕЙНЕРОВОЗЫ
ст.затрат - в группе Штрафы ГИБДД (контейнеровозы)</t>
        </r>
      </text>
    </comment>
  </commentList>
</comments>
</file>

<file path=xl/comments7.xml><?xml version="1.0" encoding="utf-8"?>
<comments xmlns="http://schemas.openxmlformats.org/spreadsheetml/2006/main">
  <authors>
    <author>Дорошенко А.Г.</author>
  </authors>
  <commentList>
    <comment ref="B8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Кт 91
НГ - в группе Удержание с з/пл работников (возмещение ущерба)</t>
        </r>
      </text>
    </comment>
    <comment ref="B9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Кт 91
НГ - в группе Удержание с з/пл работников (алименты)</t>
        </r>
      </text>
    </comment>
    <comment ref="B7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Кт 91
НГ - в группе Удержание с з/пл работников за перерасход ГСМ</t>
        </r>
      </text>
    </comment>
    <comment ref="B6" authorId="0">
      <text>
        <r>
          <rPr>
            <b/>
            <sz val="9"/>
            <rFont val="Tahoma"/>
            <family val="2"/>
          </rPr>
          <t>Дорошенко А.Г.:</t>
        </r>
        <r>
          <rPr>
            <sz val="9"/>
            <rFont val="Tahoma"/>
            <family val="2"/>
          </rPr>
          <t xml:space="preserve">
Кт 91
НГ - в группе Удержание с з/пл работников за спец.одежду</t>
        </r>
      </text>
    </comment>
  </commentList>
</comments>
</file>

<file path=xl/sharedStrings.xml><?xml version="1.0" encoding="utf-8"?>
<sst xmlns="http://schemas.openxmlformats.org/spreadsheetml/2006/main" count="246" uniqueCount="147">
  <si>
    <t>Расчет чистой прибыли за 2012-2013 гг.</t>
  </si>
  <si>
    <t>Прямые затраты</t>
  </si>
  <si>
    <t>Валовая прибыль</t>
  </si>
  <si>
    <t>Накладные затраты</t>
  </si>
  <si>
    <t>Общехозяйственные затраты</t>
  </si>
  <si>
    <t>Прочие доходы</t>
  </si>
  <si>
    <t>Прочие расходы</t>
  </si>
  <si>
    <t>Амортизация</t>
  </si>
  <si>
    <t>Операционная прибыль (EBITDA)</t>
  </si>
  <si>
    <t>Прибыль до налогов и процентов (EBIT)</t>
  </si>
  <si>
    <t>Прибыль до налогообложения</t>
  </si>
  <si>
    <t>НДС</t>
  </si>
  <si>
    <t>Налог на прибыль</t>
  </si>
  <si>
    <t>Налоговые расходы</t>
  </si>
  <si>
    <t>Прибыль до налога на прибыль</t>
  </si>
  <si>
    <t>Чистая прибыль</t>
  </si>
  <si>
    <t>Итого</t>
  </si>
  <si>
    <t>Накладные расходы за 2012-2013 гг.</t>
  </si>
  <si>
    <t>ГСМ</t>
  </si>
  <si>
    <t>Зарплата и налоги</t>
  </si>
  <si>
    <t>Материалы</t>
  </si>
  <si>
    <t>Итого накладные расходы</t>
  </si>
  <si>
    <t>Общехозяйственные расходы за 2012-2013 гг.</t>
  </si>
  <si>
    <t>Приобретение, ремонт, обслуживание оргтехники и ПО</t>
  </si>
  <si>
    <t>Реклама</t>
  </si>
  <si>
    <t>Итого общехозяйственные расходы</t>
  </si>
  <si>
    <t>Инвестиции за 2012-2013 гг.</t>
  </si>
  <si>
    <t>Прочие доходы за 2012-2013 гг.</t>
  </si>
  <si>
    <t>Итого прочие доходы</t>
  </si>
  <si>
    <t>Прочие расходы за 2012-2013 гг.</t>
  </si>
  <si>
    <t>Итого прочие расходы</t>
  </si>
  <si>
    <t>ЦФО 1 (услуги цементовозов)</t>
  </si>
  <si>
    <t>ЦФО 2 (услуги трала)</t>
  </si>
  <si>
    <t>ЦФО 3 (услуги контейнеровозов)</t>
  </si>
  <si>
    <t>Проценты по кредитам и займам</t>
  </si>
  <si>
    <t>Проценты по лизингу</t>
  </si>
  <si>
    <t>Аренда машин и механизмов</t>
  </si>
  <si>
    <t>Ремонт, запчасти, масла, материалы</t>
  </si>
  <si>
    <t xml:space="preserve">Содержание и эксплуатация  (мойка а/м, страховка, техосмотр, мосты, JPS, и т.п.) </t>
  </si>
  <si>
    <t>Аренда бокса (стоянка)</t>
  </si>
  <si>
    <t>Аренда зданий, помещений</t>
  </si>
  <si>
    <t>Инструменты</t>
  </si>
  <si>
    <t>Транспортные услуги и услуги спецтехники</t>
  </si>
  <si>
    <t>Содержание ИТР (спецодежда, средства защиты)</t>
  </si>
  <si>
    <t>Отпускные, больничные, компенсация</t>
  </si>
  <si>
    <t>Зарплата ИТР (механик):</t>
  </si>
  <si>
    <t>Статьи затрат</t>
  </si>
  <si>
    <t>Плата за негативное воздействие на окружающую среду</t>
  </si>
  <si>
    <t>Аренда офиса</t>
  </si>
  <si>
    <t>Содержание административного персонала, канц.товары, подписка, страховка</t>
  </si>
  <si>
    <t>Содержание земли, содержание и ремонт зданий и сооружений</t>
  </si>
  <si>
    <t>Подбор кадров, кадровый резерв, обучение</t>
  </si>
  <si>
    <t>Представительские, корпоративные мероприятия</t>
  </si>
  <si>
    <t>Информационно-консультационные услуги</t>
  </si>
  <si>
    <t>Юридические услуги</t>
  </si>
  <si>
    <t>Обязательные расходы (лицензии, почтовые услуги, пошлины, страхование)</t>
  </si>
  <si>
    <t>А/м Фиат:</t>
  </si>
  <si>
    <t>А/м Ленд Ровер:</t>
  </si>
  <si>
    <t>Зарплата административно-управленческого персонала (АУП):</t>
  </si>
  <si>
    <t>Бетонный завод</t>
  </si>
  <si>
    <t>Новые Дороги</t>
  </si>
  <si>
    <t>Поместье</t>
  </si>
  <si>
    <t>ПСМ</t>
  </si>
  <si>
    <t>ПНМ</t>
  </si>
  <si>
    <t>Объем доставленной продукции:</t>
  </si>
  <si>
    <t>Цемент, тн</t>
  </si>
  <si>
    <t>Кол-во рейсов</t>
  </si>
  <si>
    <t>Объем оказанных услуг:</t>
  </si>
  <si>
    <t>Услуги производственого характера</t>
  </si>
  <si>
    <t>Ремонт, запчасти, масла, материалы (цементовоз)</t>
  </si>
  <si>
    <t>Содержание и эксплуатация цементовоза (страховка, техосмотр, мосты, JPS, и т.п.)</t>
  </si>
  <si>
    <t>Ремонт, содержание и эксплуатация цементовозов:</t>
  </si>
  <si>
    <t>Зарплата (водители):</t>
  </si>
  <si>
    <t>Весовой контроль</t>
  </si>
  <si>
    <t xml:space="preserve">Выручка </t>
  </si>
  <si>
    <t>Накладные расходы (в доле по пробегу)</t>
  </si>
  <si>
    <t>Общехозяйственные расходы (в доле по пробегу)</t>
  </si>
  <si>
    <t>Расчет прибыли и себестоимости за 2012-2013 гг.</t>
  </si>
  <si>
    <t>Рентабельность по прямым</t>
  </si>
  <si>
    <t>Себестоимость по прямым</t>
  </si>
  <si>
    <t>Операционная прибыль (EBITDA) по ЦФО 1</t>
  </si>
  <si>
    <t>Рентабельность (EBITDA)</t>
  </si>
  <si>
    <t>Себестоимость (EBITDA)</t>
  </si>
  <si>
    <t>Кол-во рейсов (перевозка цемента)</t>
  </si>
  <si>
    <t>Кол-во часов (перекачка цемента)</t>
  </si>
  <si>
    <t>Амортизация (по накладным) - в доле по пробегу</t>
  </si>
  <si>
    <t>Прибыль до налогов и процентов (EBIT) по ЦФО 1</t>
  </si>
  <si>
    <t>Рентабельность (EBIT)</t>
  </si>
  <si>
    <t>Себестоимость (EBIT)</t>
  </si>
  <si>
    <t>Амортизация (прямые + накладные)</t>
  </si>
  <si>
    <t>Общая выручка от услуг по ЦФО 1:</t>
  </si>
  <si>
    <t>Выручка от услуг (перевозка цемента)</t>
  </si>
  <si>
    <t>Выручка от услуг (перекачка цемента - почасовая работа)</t>
  </si>
  <si>
    <t>Выручка от услуг по ЦФО 2 (услуги трала):</t>
  </si>
  <si>
    <t>Кол-во рейсов (перевозка груза)</t>
  </si>
  <si>
    <t>Кол-во часов (перевозка груза)</t>
  </si>
  <si>
    <t>Общая выручка от услуг по ЦФО 3:</t>
  </si>
  <si>
    <t>Выручка от услуг (по рейсам)</t>
  </si>
  <si>
    <t>Выручка от услуг (почасовая работа)</t>
  </si>
  <si>
    <t>Операционная прибыль (EBITDA) по ЦФО 3</t>
  </si>
  <si>
    <t>Прибыль до налогов и процентов (EBIT) по ЦФО 3</t>
  </si>
  <si>
    <t>Операционная прибыль (EBITDA) по ЦФО 2</t>
  </si>
  <si>
    <t>Прибыль до налогов и процентов (EBIT) по ЦФО 2</t>
  </si>
  <si>
    <t xml:space="preserve">Аренда боксов прицепов (стоянка) </t>
  </si>
  <si>
    <t>Себестоимость на тонну (EBIT)</t>
  </si>
  <si>
    <t>Себестоимость по прямым на тонну</t>
  </si>
  <si>
    <t>Амортизация (полуприцепы)</t>
  </si>
  <si>
    <t>Амортизация (тягачи)</t>
  </si>
  <si>
    <t>Командировочные</t>
  </si>
  <si>
    <t>Пени и штрафы</t>
  </si>
  <si>
    <t>Затраты тягачей (в доле)</t>
  </si>
  <si>
    <t>Командировочные расходы</t>
  </si>
  <si>
    <t>Услуги связи</t>
  </si>
  <si>
    <t>Удержание с з/пл работников:</t>
  </si>
  <si>
    <t>за спец. одежду</t>
  </si>
  <si>
    <t>за перерасход ГСМ</t>
  </si>
  <si>
    <t>возмещение ущерба</t>
  </si>
  <si>
    <t>алименты</t>
  </si>
  <si>
    <t>Штрафы ГИБДД</t>
  </si>
  <si>
    <t>Оплата возмещения вреда , причиняемого автомобильным дорогам местного значения транспортным</t>
  </si>
  <si>
    <t>Ремонт, содержание и эксплуатация контейнеровозов:</t>
  </si>
  <si>
    <t>Содержание и эксплуатация контейнеровозов (страховка, техосмотр, мосты, JPS, и т.п.)</t>
  </si>
  <si>
    <t>Ремонт, запчасти, масла, материалы (контейнеровозы)</t>
  </si>
  <si>
    <t>Зарплата и налоги (АУП)</t>
  </si>
  <si>
    <t>Отпускные, больничные, компенсация (АУП)</t>
  </si>
  <si>
    <t>Услуги банка (РКО)</t>
  </si>
  <si>
    <t>Затраты (тягачи и п/прицепы) - в доле по пробегу</t>
  </si>
  <si>
    <t>Премии и поощрения</t>
  </si>
  <si>
    <t>Командировочные расходы (цементовозы)</t>
  </si>
  <si>
    <t>Амортизация (тягачи) - в доле по пробегу</t>
  </si>
  <si>
    <t>Амортизация (полуприцепы цементовозы)</t>
  </si>
  <si>
    <t>Ремонт, содержание и эксплуатация (трал, самосвал):</t>
  </si>
  <si>
    <t>Ремонт, запчасти, масла, материалы (трал, самосвал)</t>
  </si>
  <si>
    <t>Затраты (тягачи) - в доле по пробегу</t>
  </si>
  <si>
    <t xml:space="preserve">Покупка шин </t>
  </si>
  <si>
    <t>Услуги диспетчера (% со сделки)</t>
  </si>
  <si>
    <t>Штраф ГИБДД</t>
  </si>
  <si>
    <t>Транспортный налог</t>
  </si>
  <si>
    <t xml:space="preserve">Налог на имущество </t>
  </si>
  <si>
    <t>Контрагенты (Новый Город)</t>
  </si>
  <si>
    <t>Контрагенты (ТФК)</t>
  </si>
  <si>
    <t>Контрагенты сторонние</t>
  </si>
  <si>
    <t>Расходы на возмещение затрат работников по ГСМ</t>
  </si>
  <si>
    <t>Нераспределенная прибыль</t>
  </si>
  <si>
    <t>Амортизационный фонд</t>
  </si>
  <si>
    <t>Нераспределенная прибыль на конец октября 2012</t>
  </si>
  <si>
    <t>Амортизационный фонд на конец октября 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</si>
</sst>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17" xfId="0" applyNumberForma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 indent="4"/>
    </xf>
    <xf numFmtId="0" fontId="0" fillId="0" borderId="11" xfId="0" applyBorder="1" applyAlignment="1">
      <alignment horizontal="left" wrapText="1" indent="4"/>
    </xf>
    <xf numFmtId="0" fontId="0" fillId="0" borderId="14" xfId="0" applyBorder="1" applyAlignment="1">
      <alignment horizontal="center" wrapText="1"/>
    </xf>
    <xf numFmtId="17" fontId="0" fillId="0" borderId="21" xfId="0" applyNumberFormat="1" applyBorder="1" applyAlignment="1">
      <alignment horizontal="center" wrapText="1"/>
    </xf>
    <xf numFmtId="17" fontId="0" fillId="0" borderId="25" xfId="0" applyNumberFormat="1" applyBorder="1" applyAlignment="1">
      <alignment horizontal="center" wrapText="1"/>
    </xf>
    <xf numFmtId="0" fontId="0" fillId="0" borderId="11" xfId="0" applyBorder="1" applyAlignment="1">
      <alignment horizontal="left" indent="2"/>
    </xf>
    <xf numFmtId="0" fontId="0" fillId="0" borderId="11" xfId="0" applyFont="1" applyBorder="1" applyAlignment="1">
      <alignment horizontal="left" indent="2"/>
    </xf>
    <xf numFmtId="0" fontId="0" fillId="0" borderId="14" xfId="0" applyBorder="1" applyAlignment="1">
      <alignment horizontal="center" vertical="center"/>
    </xf>
    <xf numFmtId="17" fontId="0" fillId="0" borderId="21" xfId="0" applyNumberFormat="1" applyBorder="1" applyAlignment="1">
      <alignment horizontal="center" vertical="center"/>
    </xf>
    <xf numFmtId="17" fontId="0" fillId="0" borderId="2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1" xfId="0" applyBorder="1" applyAlignment="1">
      <alignment horizontal="left" wrapText="1" indent="2"/>
    </xf>
    <xf numFmtId="0" fontId="0" fillId="0" borderId="11" xfId="0" applyFont="1" applyBorder="1" applyAlignment="1">
      <alignment horizontal="left" wrapText="1" indent="4"/>
    </xf>
    <xf numFmtId="0" fontId="0" fillId="0" borderId="2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 indent="2"/>
    </xf>
    <xf numFmtId="0" fontId="1" fillId="0" borderId="32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9" xfId="0" applyFont="1" applyBorder="1" applyAlignment="1">
      <alignment horizontal="left" indent="2"/>
    </xf>
    <xf numFmtId="0" fontId="1" fillId="24" borderId="29" xfId="0" applyFont="1" applyFill="1" applyBorder="1" applyAlignment="1">
      <alignment horizontal="left"/>
    </xf>
    <xf numFmtId="0" fontId="1" fillId="24" borderId="32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0" fillId="0" borderId="11" xfId="0" applyBorder="1" applyAlignment="1">
      <alignment horizontal="left" indent="4"/>
    </xf>
    <xf numFmtId="0" fontId="0" fillId="0" borderId="11" xfId="0" applyBorder="1" applyAlignment="1">
      <alignment horizontal="left" indent="6"/>
    </xf>
    <xf numFmtId="0" fontId="1" fillId="0" borderId="11" xfId="0" applyFont="1" applyBorder="1" applyAlignment="1">
      <alignment horizontal="left" wrapText="1" indent="2"/>
    </xf>
    <xf numFmtId="0" fontId="1" fillId="0" borderId="11" xfId="0" applyFont="1" applyBorder="1" applyAlignment="1">
      <alignment/>
    </xf>
    <xf numFmtId="0" fontId="0" fillId="0" borderId="31" xfId="0" applyBorder="1" applyAlignment="1">
      <alignment horizontal="left" indent="4"/>
    </xf>
    <xf numFmtId="0" fontId="6" fillId="0" borderId="11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0" fontId="2" fillId="0" borderId="10" xfId="55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10" fontId="2" fillId="0" borderId="20" xfId="55" applyNumberFormat="1" applyFont="1" applyBorder="1" applyAlignment="1">
      <alignment/>
    </xf>
    <xf numFmtId="0" fontId="2" fillId="0" borderId="36" xfId="0" applyFont="1" applyBorder="1" applyAlignment="1">
      <alignment horizontal="left" indent="4"/>
    </xf>
    <xf numFmtId="0" fontId="2" fillId="0" borderId="13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/>
    </xf>
    <xf numFmtId="0" fontId="2" fillId="0" borderId="36" xfId="0" applyFont="1" applyBorder="1" applyAlignment="1">
      <alignment horizontal="left" indent="6"/>
    </xf>
    <xf numFmtId="0" fontId="1" fillId="0" borderId="29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24" borderId="32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0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0" fillId="0" borderId="32" xfId="0" applyNumberFormat="1" applyBorder="1" applyAlignment="1">
      <alignment wrapText="1"/>
    </xf>
    <xf numFmtId="4" fontId="0" fillId="0" borderId="33" xfId="0" applyNumberFormat="1" applyBorder="1" applyAlignment="1">
      <alignment wrapText="1"/>
    </xf>
    <xf numFmtId="4" fontId="1" fillId="0" borderId="34" xfId="0" applyNumberFormat="1" applyFont="1" applyBorder="1" applyAlignment="1">
      <alignment wrapText="1"/>
    </xf>
    <xf numFmtId="4" fontId="1" fillId="0" borderId="21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wrapText="1"/>
    </xf>
    <xf numFmtId="4" fontId="0" fillId="0" borderId="22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1" fillId="0" borderId="24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10" xfId="55" applyNumberFormat="1" applyFont="1" applyBorder="1" applyAlignment="1">
      <alignment/>
    </xf>
    <xf numFmtId="4" fontId="2" fillId="0" borderId="12" xfId="55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0" xfId="0" applyNumberFormat="1" applyAlignment="1">
      <alignment/>
    </xf>
    <xf numFmtId="10" fontId="2" fillId="0" borderId="10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4" fontId="1" fillId="24" borderId="34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4" fontId="0" fillId="25" borderId="10" xfId="0" applyNumberForma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2"/>
    </xf>
    <xf numFmtId="4" fontId="1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1" fillId="24" borderId="22" xfId="0" applyNumberFormat="1" applyFont="1" applyFill="1" applyBorder="1" applyAlignment="1">
      <alignment/>
    </xf>
    <xf numFmtId="10" fontId="2" fillId="24" borderId="10" xfId="55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 wrapText="1"/>
    </xf>
    <xf numFmtId="4" fontId="0" fillId="25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0" fillId="0" borderId="31" xfId="0" applyBorder="1" applyAlignment="1">
      <alignment horizontal="left" indent="6"/>
    </xf>
    <xf numFmtId="10" fontId="2" fillId="0" borderId="2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0" fontId="0" fillId="0" borderId="20" xfId="0" applyNumberFormat="1" applyBorder="1" applyAlignment="1">
      <alignment horizontal="right"/>
    </xf>
    <xf numFmtId="4" fontId="1" fillId="24" borderId="21" xfId="0" applyNumberFormat="1" applyFont="1" applyFill="1" applyBorder="1" applyAlignment="1">
      <alignment/>
    </xf>
    <xf numFmtId="4" fontId="1" fillId="24" borderId="21" xfId="0" applyNumberFormat="1" applyFont="1" applyFill="1" applyBorder="1" applyAlignment="1">
      <alignment wrapText="1"/>
    </xf>
    <xf numFmtId="4" fontId="1" fillId="24" borderId="33" xfId="0" applyNumberFormat="1" applyFon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0" fillId="24" borderId="22" xfId="0" applyNumberFormat="1" applyFill="1" applyBorder="1" applyAlignment="1">
      <alignment/>
    </xf>
    <xf numFmtId="4" fontId="0" fillId="24" borderId="2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4" fillId="0" borderId="3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40">
      <selection activeCell="A36" sqref="A36"/>
    </sheetView>
  </sheetViews>
  <sheetFormatPr defaultColWidth="9.140625" defaultRowHeight="15"/>
  <cols>
    <col min="1" max="1" width="54.7109375" style="0" customWidth="1"/>
    <col min="2" max="2" width="11.421875" style="0" bestFit="1" customWidth="1"/>
    <col min="3" max="13" width="11.421875" style="0" customWidth="1"/>
    <col min="14" max="14" width="11.421875" style="0" bestFit="1" customWidth="1"/>
  </cols>
  <sheetData>
    <row r="1" spans="1:14" ht="1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ht="15.75" thickBot="1"/>
    <row r="4" spans="1:14" ht="27.75" customHeight="1" thickBot="1">
      <c r="A4" s="42"/>
      <c r="B4" s="43">
        <v>41214</v>
      </c>
      <c r="C4" s="43">
        <v>41244</v>
      </c>
      <c r="D4" s="43">
        <v>41275</v>
      </c>
      <c r="E4" s="43">
        <v>41306</v>
      </c>
      <c r="F4" s="43">
        <v>41334</v>
      </c>
      <c r="G4" s="43">
        <v>41365</v>
      </c>
      <c r="H4" s="43">
        <v>41395</v>
      </c>
      <c r="I4" s="43">
        <v>41426</v>
      </c>
      <c r="J4" s="43">
        <v>41456</v>
      </c>
      <c r="K4" s="43">
        <v>41487</v>
      </c>
      <c r="L4" s="43">
        <v>41518</v>
      </c>
      <c r="M4" s="44">
        <v>41548</v>
      </c>
      <c r="N4" s="45" t="s">
        <v>16</v>
      </c>
    </row>
    <row r="5" spans="1:14" s="1" customFormat="1" ht="15">
      <c r="A5" s="83" t="s">
        <v>74</v>
      </c>
      <c r="B5" s="88">
        <f>SUM(B6:B8)</f>
        <v>1669478.8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69"/>
      <c r="N5" s="97">
        <f>SUM(B5:M5)</f>
        <v>1669478.8</v>
      </c>
    </row>
    <row r="6" spans="1:14" ht="15">
      <c r="A6" s="11" t="s">
        <v>31</v>
      </c>
      <c r="B6" s="89">
        <f>'ЦФО 1'!B10</f>
        <v>1621710.8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98">
        <f>SUM(B6:M6)</f>
        <v>1621710.8</v>
      </c>
    </row>
    <row r="7" spans="1:14" ht="15">
      <c r="A7" s="11" t="s">
        <v>32</v>
      </c>
      <c r="B7" s="89">
        <f>'ЦФО 2'!B8</f>
        <v>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98">
        <f>SUM(B7:M7)</f>
        <v>0</v>
      </c>
    </row>
    <row r="8" spans="1:14" ht="15">
      <c r="A8" s="11" t="s">
        <v>33</v>
      </c>
      <c r="B8" s="89">
        <f>'ЦФО 3'!B9</f>
        <v>47768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98">
        <f>SUM(B8:M8)</f>
        <v>47768</v>
      </c>
    </row>
    <row r="9" spans="1:14" ht="15">
      <c r="A9" s="5"/>
      <c r="B9" s="89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70"/>
      <c r="N9" s="98"/>
    </row>
    <row r="10" spans="1:14" s="1" customFormat="1" ht="15">
      <c r="A10" s="4" t="s">
        <v>1</v>
      </c>
      <c r="B10" s="84">
        <f>SUM(B11:B13)</f>
        <v>1284049.36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86">
        <f>SUM(B10:M10)</f>
        <v>1284049.36</v>
      </c>
    </row>
    <row r="11" spans="1:14" ht="15">
      <c r="A11" s="11" t="s">
        <v>31</v>
      </c>
      <c r="B11" s="89">
        <f>'ЦФО 1'!B25</f>
        <v>1156065.62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98">
        <f>SUM(B11:M11)</f>
        <v>1156065.62</v>
      </c>
    </row>
    <row r="12" spans="1:14" ht="15">
      <c r="A12" s="11" t="s">
        <v>32</v>
      </c>
      <c r="B12" s="89">
        <f>'ЦФО 2'!B15</f>
        <v>27278.67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98">
        <f>SUM(B12:M12)</f>
        <v>27278.67</v>
      </c>
    </row>
    <row r="13" spans="1:14" ht="15">
      <c r="A13" s="11" t="s">
        <v>33</v>
      </c>
      <c r="B13" s="89">
        <f>'ЦФО 3'!B22</f>
        <v>100705.07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98">
        <f>SUM(B13:M13)</f>
        <v>100705.07</v>
      </c>
    </row>
    <row r="14" spans="1:14" ht="15">
      <c r="A14" s="5"/>
      <c r="B14" s="89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70"/>
      <c r="N14" s="98"/>
    </row>
    <row r="15" spans="1:14" s="1" customFormat="1" ht="15">
      <c r="A15" s="4" t="s">
        <v>2</v>
      </c>
      <c r="B15" s="84">
        <f>B5-B10</f>
        <v>385429.43999999994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86">
        <f>SUM(B15:M15)</f>
        <v>385429.43999999994</v>
      </c>
    </row>
    <row r="16" spans="1:14" s="1" customFormat="1" ht="15">
      <c r="A16" s="4"/>
      <c r="B16" s="84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71"/>
      <c r="N16" s="86"/>
    </row>
    <row r="17" spans="1:14" ht="15">
      <c r="A17" s="5" t="s">
        <v>3</v>
      </c>
      <c r="B17" s="89">
        <f>'Накладные и общехозяйственные'!B27</f>
        <v>55860.7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98">
        <f>SUM(B17:M17)</f>
        <v>55860.7</v>
      </c>
    </row>
    <row r="18" spans="1:14" ht="15">
      <c r="A18" s="5" t="s">
        <v>4</v>
      </c>
      <c r="B18" s="89">
        <f>'Накладные и общехозяйственные'!B54</f>
        <v>254205.21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98">
        <f>SUM(B18:M18)</f>
        <v>254205.21</v>
      </c>
    </row>
    <row r="19" spans="1:14" ht="15">
      <c r="A19" s="5"/>
      <c r="B19" s="89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70"/>
      <c r="N19" s="98"/>
    </row>
    <row r="20" spans="1:14" s="1" customFormat="1" ht="15">
      <c r="A20" s="4" t="s">
        <v>8</v>
      </c>
      <c r="B20" s="84">
        <f>B15-B17-B18</f>
        <v>75363.52999999994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86">
        <f>SUM(B20:M20)</f>
        <v>75363.52999999994</v>
      </c>
    </row>
    <row r="21" spans="1:14" ht="15">
      <c r="A21" s="5"/>
      <c r="B21" s="89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70"/>
      <c r="N21" s="98"/>
    </row>
    <row r="22" spans="1:14" ht="15">
      <c r="A22" s="5" t="s">
        <v>5</v>
      </c>
      <c r="B22" s="89">
        <f>+'Прочие доходы и расходы'!B14</f>
        <v>5244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98">
        <f>SUM(B22:M22)</f>
        <v>5244</v>
      </c>
    </row>
    <row r="23" spans="1:14" ht="15">
      <c r="A23" s="5" t="s">
        <v>6</v>
      </c>
      <c r="B23" s="89">
        <f>'Прочие доходы и расходы'!B29</f>
        <v>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98">
        <f>SUM(B23:M23)</f>
        <v>0</v>
      </c>
    </row>
    <row r="24" spans="1:14" ht="15">
      <c r="A24" s="5" t="s">
        <v>7</v>
      </c>
      <c r="B24" s="143">
        <f>+'ЦФО 1'!B51+'ЦФО 2'!B41+'ЦФО 3'!B48</f>
        <v>529940.58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98">
        <f>SUM(B24:M24)</f>
        <v>529940.58</v>
      </c>
    </row>
    <row r="25" spans="1:14" ht="15">
      <c r="A25" s="5"/>
      <c r="B25" s="89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70"/>
      <c r="N25" s="98"/>
    </row>
    <row r="26" spans="1:14" s="1" customFormat="1" ht="15">
      <c r="A26" s="4" t="s">
        <v>9</v>
      </c>
      <c r="B26" s="84">
        <f>B20+B22-B23-B24</f>
        <v>-449333.05000000005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86">
        <f>SUM(B26:M26)</f>
        <v>-449333.05000000005</v>
      </c>
    </row>
    <row r="27" spans="1:14" ht="15">
      <c r="A27" s="5"/>
      <c r="B27" s="89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70"/>
      <c r="N27" s="98"/>
    </row>
    <row r="28" spans="1:14" ht="15">
      <c r="A28" s="5" t="s">
        <v>34</v>
      </c>
      <c r="B28" s="143">
        <v>9125.68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70"/>
      <c r="N28" s="98">
        <f>SUM(B28:M28)</f>
        <v>9125.68</v>
      </c>
    </row>
    <row r="29" spans="1:14" ht="15">
      <c r="A29" s="5" t="s">
        <v>35</v>
      </c>
      <c r="B29" s="143">
        <v>71167.48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70"/>
      <c r="N29" s="98">
        <f>SUM(B29:M29)</f>
        <v>71167.48</v>
      </c>
    </row>
    <row r="30" spans="1:14" ht="15">
      <c r="A30" s="5"/>
      <c r="B30" s="89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70"/>
      <c r="N30" s="98"/>
    </row>
    <row r="31" spans="1:14" s="1" customFormat="1" ht="15">
      <c r="A31" s="4" t="s">
        <v>10</v>
      </c>
      <c r="B31" s="84">
        <f>B26-B28-B29</f>
        <v>-529626.2100000001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86">
        <f>SUM(B31:M31)</f>
        <v>-529626.2100000001</v>
      </c>
    </row>
    <row r="32" spans="1:14" ht="15">
      <c r="A32" s="5"/>
      <c r="B32" s="89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70"/>
      <c r="N32" s="98"/>
    </row>
    <row r="33" spans="1:14" ht="15">
      <c r="A33" s="5" t="s">
        <v>11</v>
      </c>
      <c r="B33" s="143">
        <v>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70"/>
      <c r="N33" s="98">
        <f>SUM(B33:M33)</f>
        <v>0</v>
      </c>
    </row>
    <row r="34" spans="1:14" ht="15">
      <c r="A34" s="5" t="s">
        <v>138</v>
      </c>
      <c r="B34" s="143">
        <v>0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70"/>
      <c r="N34" s="98">
        <f>SUM(B34:M34)</f>
        <v>0</v>
      </c>
    </row>
    <row r="35" spans="1:14" ht="15">
      <c r="A35" s="5" t="s">
        <v>137</v>
      </c>
      <c r="B35" s="143">
        <v>0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70"/>
      <c r="N35" s="98">
        <f>SUM(B35:M35)</f>
        <v>0</v>
      </c>
    </row>
    <row r="36" spans="1:14" ht="15">
      <c r="A36" s="5" t="s">
        <v>13</v>
      </c>
      <c r="B36" s="143">
        <v>20218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70"/>
      <c r="N36" s="98">
        <f>SUM(B36:M36)</f>
        <v>20218</v>
      </c>
    </row>
    <row r="37" spans="1:14" ht="15">
      <c r="A37" s="5"/>
      <c r="B37" s="89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70"/>
      <c r="N37" s="98"/>
    </row>
    <row r="38" spans="1:14" s="1" customFormat="1" ht="15">
      <c r="A38" s="4" t="s">
        <v>14</v>
      </c>
      <c r="B38" s="84">
        <f>B31-B33-B34-B35-B36</f>
        <v>-549844.2100000001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86">
        <f>SUM(B38:M38)</f>
        <v>-549844.2100000001</v>
      </c>
    </row>
    <row r="39" spans="1:14" ht="15">
      <c r="A39" s="5"/>
      <c r="B39" s="89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70"/>
      <c r="N39" s="98"/>
    </row>
    <row r="40" spans="1:14" ht="15">
      <c r="A40" s="9" t="s">
        <v>12</v>
      </c>
      <c r="B40" s="143">
        <v>0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70"/>
      <c r="N40" s="98">
        <f>SUM(B40:M40)</f>
        <v>0</v>
      </c>
    </row>
    <row r="41" spans="1:14" ht="15.75" thickBot="1">
      <c r="A41" s="7"/>
      <c r="B41" s="108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3"/>
      <c r="N41" s="109"/>
    </row>
    <row r="42" spans="1:14" ht="15.75" thickBot="1">
      <c r="A42" s="8" t="s">
        <v>15</v>
      </c>
      <c r="B42" s="110">
        <f>B38-B40</f>
        <v>-549844.2100000001</v>
      </c>
      <c r="C42" s="110">
        <f aca="true" t="shared" si="0" ref="C42:M42">C38-C40</f>
        <v>0</v>
      </c>
      <c r="D42" s="110">
        <f t="shared" si="0"/>
        <v>0</v>
      </c>
      <c r="E42" s="110">
        <f t="shared" si="0"/>
        <v>0</v>
      </c>
      <c r="F42" s="110">
        <f t="shared" si="0"/>
        <v>0</v>
      </c>
      <c r="G42" s="110">
        <f t="shared" si="0"/>
        <v>0</v>
      </c>
      <c r="H42" s="110">
        <f t="shared" si="0"/>
        <v>0</v>
      </c>
      <c r="I42" s="110">
        <f t="shared" si="0"/>
        <v>0</v>
      </c>
      <c r="J42" s="110">
        <f t="shared" si="0"/>
        <v>0</v>
      </c>
      <c r="K42" s="110">
        <f t="shared" si="0"/>
        <v>0</v>
      </c>
      <c r="L42" s="110">
        <f t="shared" si="0"/>
        <v>0</v>
      </c>
      <c r="M42" s="110">
        <f t="shared" si="0"/>
        <v>0</v>
      </c>
      <c r="N42" s="111">
        <f>SUM(B42:M42)</f>
        <v>-549844.2100000001</v>
      </c>
    </row>
    <row r="43" ht="15.75" thickBot="1"/>
    <row r="44" spans="1:14" ht="15.75" thickBot="1">
      <c r="A44" s="181" t="s">
        <v>143</v>
      </c>
      <c r="B44" s="176">
        <f>+B45+B42</f>
        <v>8735411.819999998</v>
      </c>
      <c r="C44" s="177">
        <f>+B44+C42</f>
        <v>8735411.819999998</v>
      </c>
      <c r="D44" s="176">
        <f aca="true" t="shared" si="1" ref="D44:M44">+C44+D42</f>
        <v>8735411.819999998</v>
      </c>
      <c r="E44" s="176">
        <f t="shared" si="1"/>
        <v>8735411.819999998</v>
      </c>
      <c r="F44" s="176">
        <f t="shared" si="1"/>
        <v>8735411.819999998</v>
      </c>
      <c r="G44" s="176">
        <f t="shared" si="1"/>
        <v>8735411.819999998</v>
      </c>
      <c r="H44" s="176">
        <f t="shared" si="1"/>
        <v>8735411.819999998</v>
      </c>
      <c r="I44" s="176">
        <f t="shared" si="1"/>
        <v>8735411.819999998</v>
      </c>
      <c r="J44" s="176">
        <f t="shared" si="1"/>
        <v>8735411.819999998</v>
      </c>
      <c r="K44" s="176">
        <f t="shared" si="1"/>
        <v>8735411.819999998</v>
      </c>
      <c r="L44" s="176">
        <f t="shared" si="1"/>
        <v>8735411.819999998</v>
      </c>
      <c r="M44" s="178">
        <f t="shared" si="1"/>
        <v>8735411.819999998</v>
      </c>
      <c r="N44" s="180"/>
    </row>
    <row r="45" spans="1:14" ht="15.75" thickBot="1">
      <c r="A45" s="181" t="s">
        <v>145</v>
      </c>
      <c r="B45" s="179">
        <v>9285256.03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2:14" ht="15.75" thickBot="1">
      <c r="B46" s="137"/>
      <c r="C46" s="137"/>
      <c r="N46" s="174"/>
    </row>
    <row r="47" spans="1:14" ht="15.75" thickBot="1">
      <c r="A47" s="175" t="s">
        <v>144</v>
      </c>
      <c r="B47" s="176">
        <f>+B48+B24</f>
        <v>7535945.13</v>
      </c>
      <c r="C47" s="176">
        <f>+B47+C24</f>
        <v>7535945.13</v>
      </c>
      <c r="D47" s="176">
        <f aca="true" t="shared" si="2" ref="D47:M47">+C47+D24</f>
        <v>7535945.13</v>
      </c>
      <c r="E47" s="176">
        <f t="shared" si="2"/>
        <v>7535945.13</v>
      </c>
      <c r="F47" s="176">
        <f t="shared" si="2"/>
        <v>7535945.13</v>
      </c>
      <c r="G47" s="176">
        <f t="shared" si="2"/>
        <v>7535945.13</v>
      </c>
      <c r="H47" s="176">
        <f t="shared" si="2"/>
        <v>7535945.13</v>
      </c>
      <c r="I47" s="176">
        <f t="shared" si="2"/>
        <v>7535945.13</v>
      </c>
      <c r="J47" s="176">
        <f t="shared" si="2"/>
        <v>7535945.13</v>
      </c>
      <c r="K47" s="176">
        <f t="shared" si="2"/>
        <v>7535945.13</v>
      </c>
      <c r="L47" s="176">
        <f t="shared" si="2"/>
        <v>7535945.13</v>
      </c>
      <c r="M47" s="178">
        <f t="shared" si="2"/>
        <v>7535945.13</v>
      </c>
      <c r="N47" s="180"/>
    </row>
    <row r="48" spans="1:14" ht="15.75" thickBot="1">
      <c r="A48" s="175" t="s">
        <v>146</v>
      </c>
      <c r="B48" s="178">
        <v>7006004.55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sheetProtection/>
  <mergeCells count="2">
    <mergeCell ref="A1:N1"/>
    <mergeCell ref="A2:N2"/>
  </mergeCells>
  <printOptions horizontalCentered="1"/>
  <pageMargins left="0.2362204724409449" right="0.2362204724409449" top="0.7874015748031497" bottom="0.03937007874015748" header="0.31496062992125984" footer="0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28">
      <selection activeCell="A30" sqref="A30:N30"/>
    </sheetView>
  </sheetViews>
  <sheetFormatPr defaultColWidth="9.140625" defaultRowHeight="15"/>
  <cols>
    <col min="1" max="1" width="43.140625" style="12" customWidth="1"/>
    <col min="2" max="3" width="10.00390625" style="12" bestFit="1" customWidth="1"/>
    <col min="4" max="13" width="9.140625" style="12" customWidth="1"/>
    <col min="14" max="14" width="10.421875" style="22" customWidth="1"/>
    <col min="15" max="15" width="9.140625" style="12" customWidth="1"/>
    <col min="16" max="17" width="10.00390625" style="12" bestFit="1" customWidth="1"/>
    <col min="18" max="16384" width="9.140625" style="12" customWidth="1"/>
  </cols>
  <sheetData>
    <row r="1" spans="1:14" ht="15">
      <c r="A1" s="182" t="s">
        <v>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ht="15.75" thickBot="1"/>
    <row r="4" spans="1:14" ht="15.75" thickBot="1">
      <c r="A4" s="37" t="s">
        <v>46</v>
      </c>
      <c r="B4" s="38">
        <v>41214</v>
      </c>
      <c r="C4" s="38">
        <v>41244</v>
      </c>
      <c r="D4" s="38">
        <v>41275</v>
      </c>
      <c r="E4" s="38">
        <v>41306</v>
      </c>
      <c r="F4" s="38">
        <v>41334</v>
      </c>
      <c r="G4" s="38">
        <v>41365</v>
      </c>
      <c r="H4" s="38">
        <v>41395</v>
      </c>
      <c r="I4" s="38">
        <v>41426</v>
      </c>
      <c r="J4" s="38">
        <v>41456</v>
      </c>
      <c r="K4" s="38">
        <v>41487</v>
      </c>
      <c r="L4" s="38">
        <v>41518</v>
      </c>
      <c r="M4" s="39">
        <v>41548</v>
      </c>
      <c r="N4" s="21" t="s">
        <v>16</v>
      </c>
    </row>
    <row r="5" spans="1:14" ht="15">
      <c r="A5" s="53" t="s">
        <v>36</v>
      </c>
      <c r="B5" s="114">
        <v>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6">
        <f>SUM(B5:M5)</f>
        <v>0</v>
      </c>
    </row>
    <row r="6" spans="1:14" ht="15">
      <c r="A6" s="34" t="s">
        <v>40</v>
      </c>
      <c r="B6" s="101">
        <v>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116">
        <f aca="true" t="shared" si="0" ref="N6:N27">SUM(B6:M6)</f>
        <v>0</v>
      </c>
    </row>
    <row r="7" spans="1:14" ht="30">
      <c r="A7" s="34" t="s">
        <v>142</v>
      </c>
      <c r="B7" s="101">
        <v>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16"/>
    </row>
    <row r="8" spans="1:14" ht="15">
      <c r="A8" s="34" t="s">
        <v>56</v>
      </c>
      <c r="B8" s="144">
        <f aca="true" t="shared" si="1" ref="B8:M8">SUM(B9:B12)</f>
        <v>9596.09</v>
      </c>
      <c r="C8" s="101">
        <f t="shared" si="1"/>
        <v>0</v>
      </c>
      <c r="D8" s="101">
        <f t="shared" si="1"/>
        <v>0</v>
      </c>
      <c r="E8" s="101">
        <f t="shared" si="1"/>
        <v>0</v>
      </c>
      <c r="F8" s="101">
        <f t="shared" si="1"/>
        <v>0</v>
      </c>
      <c r="G8" s="101">
        <f t="shared" si="1"/>
        <v>0</v>
      </c>
      <c r="H8" s="101">
        <f t="shared" si="1"/>
        <v>0</v>
      </c>
      <c r="I8" s="101">
        <f t="shared" si="1"/>
        <v>0</v>
      </c>
      <c r="J8" s="101">
        <f t="shared" si="1"/>
        <v>0</v>
      </c>
      <c r="K8" s="101">
        <f t="shared" si="1"/>
        <v>0</v>
      </c>
      <c r="L8" s="101">
        <f t="shared" si="1"/>
        <v>0</v>
      </c>
      <c r="M8" s="101">
        <f t="shared" si="1"/>
        <v>0</v>
      </c>
      <c r="N8" s="116">
        <f t="shared" si="0"/>
        <v>9596.09</v>
      </c>
    </row>
    <row r="9" spans="1:14" ht="30">
      <c r="A9" s="35" t="s">
        <v>37</v>
      </c>
      <c r="B9" s="101">
        <v>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16">
        <f t="shared" si="0"/>
        <v>0</v>
      </c>
    </row>
    <row r="10" spans="1:14" ht="45">
      <c r="A10" s="35" t="s">
        <v>38</v>
      </c>
      <c r="B10" s="101">
        <v>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  <c r="N10" s="116">
        <f t="shared" si="0"/>
        <v>0</v>
      </c>
    </row>
    <row r="11" spans="1:16" ht="15">
      <c r="A11" s="36" t="s">
        <v>18</v>
      </c>
      <c r="B11" s="144">
        <v>5596.09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16">
        <f t="shared" si="0"/>
        <v>5596.09</v>
      </c>
      <c r="P11" s="123"/>
    </row>
    <row r="12" spans="1:14" ht="15">
      <c r="A12" s="36" t="s">
        <v>39</v>
      </c>
      <c r="B12" s="144">
        <v>4000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N12" s="116">
        <f t="shared" si="0"/>
        <v>4000</v>
      </c>
    </row>
    <row r="13" spans="1:14" ht="15">
      <c r="A13" s="34" t="s">
        <v>57</v>
      </c>
      <c r="B13" s="101">
        <f>SUM(B14:B17)</f>
        <v>0</v>
      </c>
      <c r="C13" s="101">
        <f aca="true" t="shared" si="2" ref="C13:M13">SUM(C14:C17)</f>
        <v>0</v>
      </c>
      <c r="D13" s="101">
        <f t="shared" si="2"/>
        <v>0</v>
      </c>
      <c r="E13" s="101">
        <f t="shared" si="2"/>
        <v>0</v>
      </c>
      <c r="F13" s="101">
        <f t="shared" si="2"/>
        <v>0</v>
      </c>
      <c r="G13" s="101">
        <f t="shared" si="2"/>
        <v>0</v>
      </c>
      <c r="H13" s="101">
        <f t="shared" si="2"/>
        <v>0</v>
      </c>
      <c r="I13" s="101">
        <f t="shared" si="2"/>
        <v>0</v>
      </c>
      <c r="J13" s="101">
        <f t="shared" si="2"/>
        <v>0</v>
      </c>
      <c r="K13" s="101">
        <f t="shared" si="2"/>
        <v>0</v>
      </c>
      <c r="L13" s="101">
        <f t="shared" si="2"/>
        <v>0</v>
      </c>
      <c r="M13" s="101">
        <f t="shared" si="2"/>
        <v>0</v>
      </c>
      <c r="N13" s="116">
        <f t="shared" si="0"/>
        <v>0</v>
      </c>
    </row>
    <row r="14" spans="1:14" ht="30">
      <c r="A14" s="35" t="s">
        <v>37</v>
      </c>
      <c r="B14" s="101">
        <v>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16">
        <f t="shared" si="0"/>
        <v>0</v>
      </c>
    </row>
    <row r="15" spans="1:14" ht="45">
      <c r="A15" s="35" t="s">
        <v>38</v>
      </c>
      <c r="B15" s="101">
        <v>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  <c r="N15" s="116">
        <f t="shared" si="0"/>
        <v>0</v>
      </c>
    </row>
    <row r="16" spans="1:14" ht="15">
      <c r="A16" s="36" t="s">
        <v>18</v>
      </c>
      <c r="B16" s="101">
        <v>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116">
        <f t="shared" si="0"/>
        <v>0</v>
      </c>
    </row>
    <row r="17" spans="1:14" ht="15">
      <c r="A17" s="36" t="s">
        <v>39</v>
      </c>
      <c r="B17" s="101">
        <v>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16">
        <f t="shared" si="0"/>
        <v>0</v>
      </c>
    </row>
    <row r="18" spans="1:14" ht="15">
      <c r="A18" s="16" t="s">
        <v>41</v>
      </c>
      <c r="B18" s="101">
        <v>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16">
        <f t="shared" si="0"/>
        <v>0</v>
      </c>
    </row>
    <row r="19" spans="1:14" ht="15">
      <c r="A19" s="16" t="s">
        <v>20</v>
      </c>
      <c r="B19" s="101">
        <v>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116">
        <f t="shared" si="0"/>
        <v>0</v>
      </c>
    </row>
    <row r="20" spans="1:14" ht="30">
      <c r="A20" s="16" t="s">
        <v>42</v>
      </c>
      <c r="B20" s="101">
        <v>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16">
        <f t="shared" si="0"/>
        <v>0</v>
      </c>
    </row>
    <row r="21" spans="1:14" ht="15" customHeight="1">
      <c r="A21" s="16" t="s">
        <v>43</v>
      </c>
      <c r="B21" s="101">
        <v>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116">
        <f t="shared" si="0"/>
        <v>0</v>
      </c>
    </row>
    <row r="22" spans="1:17" ht="15">
      <c r="A22" s="16" t="s">
        <v>45</v>
      </c>
      <c r="B22" s="144">
        <f>SUM(B23:B24)</f>
        <v>46264.61</v>
      </c>
      <c r="C22" s="101">
        <f aca="true" t="shared" si="3" ref="C22:M22">SUM(C23:C24)</f>
        <v>0</v>
      </c>
      <c r="D22" s="101">
        <f t="shared" si="3"/>
        <v>0</v>
      </c>
      <c r="E22" s="101">
        <f t="shared" si="3"/>
        <v>0</v>
      </c>
      <c r="F22" s="101">
        <f t="shared" si="3"/>
        <v>0</v>
      </c>
      <c r="G22" s="101">
        <f t="shared" si="3"/>
        <v>0</v>
      </c>
      <c r="H22" s="101">
        <f t="shared" si="3"/>
        <v>0</v>
      </c>
      <c r="I22" s="101">
        <f t="shared" si="3"/>
        <v>0</v>
      </c>
      <c r="J22" s="101">
        <f t="shared" si="3"/>
        <v>0</v>
      </c>
      <c r="K22" s="101">
        <f t="shared" si="3"/>
        <v>0</v>
      </c>
      <c r="L22" s="101">
        <f t="shared" si="3"/>
        <v>0</v>
      </c>
      <c r="M22" s="101">
        <f t="shared" si="3"/>
        <v>0</v>
      </c>
      <c r="N22" s="116">
        <f t="shared" si="0"/>
        <v>46264.61</v>
      </c>
      <c r="P22" s="123"/>
      <c r="Q22" s="123"/>
    </row>
    <row r="23" spans="1:14" ht="15">
      <c r="A23" s="36" t="s">
        <v>19</v>
      </c>
      <c r="B23" s="144">
        <v>46264.61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16">
        <f t="shared" si="0"/>
        <v>46264.61</v>
      </c>
    </row>
    <row r="24" spans="1:14" ht="15">
      <c r="A24" s="36" t="s">
        <v>127</v>
      </c>
      <c r="B24" s="101">
        <v>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  <c r="N24" s="116">
        <f t="shared" si="0"/>
        <v>0</v>
      </c>
    </row>
    <row r="25" spans="1:14" ht="30">
      <c r="A25" s="36" t="s">
        <v>44</v>
      </c>
      <c r="B25" s="101">
        <v>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116">
        <f t="shared" si="0"/>
        <v>0</v>
      </c>
    </row>
    <row r="26" spans="1:14" ht="15.75" thickBot="1">
      <c r="A26" s="19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16">
        <f t="shared" si="0"/>
        <v>0</v>
      </c>
    </row>
    <row r="27" spans="1:14" s="22" customFormat="1" ht="15.75" thickBot="1">
      <c r="A27" s="20" t="s">
        <v>21</v>
      </c>
      <c r="B27" s="168">
        <f aca="true" t="shared" si="4" ref="B27:M27">SUM(B5:B8,B13,B18:B22)</f>
        <v>55860.7</v>
      </c>
      <c r="C27" s="117">
        <f t="shared" si="4"/>
        <v>0</v>
      </c>
      <c r="D27" s="117">
        <f t="shared" si="4"/>
        <v>0</v>
      </c>
      <c r="E27" s="117">
        <f t="shared" si="4"/>
        <v>0</v>
      </c>
      <c r="F27" s="117">
        <f t="shared" si="4"/>
        <v>0</v>
      </c>
      <c r="G27" s="117">
        <f t="shared" si="4"/>
        <v>0</v>
      </c>
      <c r="H27" s="117">
        <f t="shared" si="4"/>
        <v>0</v>
      </c>
      <c r="I27" s="117">
        <f t="shared" si="4"/>
        <v>0</v>
      </c>
      <c r="J27" s="117">
        <f t="shared" si="4"/>
        <v>0</v>
      </c>
      <c r="K27" s="117">
        <f t="shared" si="4"/>
        <v>0</v>
      </c>
      <c r="L27" s="117">
        <f t="shared" si="4"/>
        <v>0</v>
      </c>
      <c r="M27" s="117">
        <f t="shared" si="4"/>
        <v>0</v>
      </c>
      <c r="N27" s="117">
        <f t="shared" si="0"/>
        <v>55860.7</v>
      </c>
    </row>
    <row r="28" ht="15"/>
    <row r="29" spans="1:14" ht="15">
      <c r="A29" s="182" t="s">
        <v>22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</row>
    <row r="30" spans="1:14" ht="1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</row>
    <row r="31" ht="15.75" thickBot="1"/>
    <row r="32" spans="1:14" ht="15.75" thickBot="1">
      <c r="A32" s="37" t="s">
        <v>46</v>
      </c>
      <c r="B32" s="38">
        <v>41214</v>
      </c>
      <c r="C32" s="38">
        <v>41244</v>
      </c>
      <c r="D32" s="38">
        <v>41275</v>
      </c>
      <c r="E32" s="38">
        <v>41306</v>
      </c>
      <c r="F32" s="38">
        <v>41334</v>
      </c>
      <c r="G32" s="38">
        <v>41365</v>
      </c>
      <c r="H32" s="38">
        <v>41395</v>
      </c>
      <c r="I32" s="38">
        <v>41426</v>
      </c>
      <c r="J32" s="38">
        <v>41456</v>
      </c>
      <c r="K32" s="38">
        <v>41487</v>
      </c>
      <c r="L32" s="38">
        <v>41518</v>
      </c>
      <c r="M32" s="39">
        <v>41548</v>
      </c>
      <c r="N32" s="21" t="s">
        <v>16</v>
      </c>
    </row>
    <row r="33" spans="1:14" ht="30">
      <c r="A33" s="16" t="s">
        <v>23</v>
      </c>
      <c r="B33" s="101">
        <v>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112">
        <f>SUM(B33:M33)</f>
        <v>0</v>
      </c>
    </row>
    <row r="34" spans="1:14" ht="30">
      <c r="A34" s="16" t="s">
        <v>47</v>
      </c>
      <c r="B34" s="101">
        <v>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N34" s="112">
        <f aca="true" t="shared" si="5" ref="N34:N53">SUM(B34:M34)</f>
        <v>0</v>
      </c>
    </row>
    <row r="35" spans="1:14" ht="45">
      <c r="A35" s="16" t="s">
        <v>119</v>
      </c>
      <c r="B35" s="101">
        <v>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112">
        <f t="shared" si="5"/>
        <v>0</v>
      </c>
    </row>
    <row r="36" spans="1:14" ht="15">
      <c r="A36" s="16" t="s">
        <v>48</v>
      </c>
      <c r="B36" s="101">
        <v>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112">
        <f t="shared" si="5"/>
        <v>0</v>
      </c>
    </row>
    <row r="37" spans="1:14" ht="45">
      <c r="A37" s="16" t="s">
        <v>49</v>
      </c>
      <c r="B37" s="144">
        <v>3982.56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112">
        <f t="shared" si="5"/>
        <v>3982.56</v>
      </c>
    </row>
    <row r="38" spans="1:14" ht="15">
      <c r="A38" s="16" t="s">
        <v>112</v>
      </c>
      <c r="B38" s="144">
        <v>2172.55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112">
        <f t="shared" si="5"/>
        <v>2172.55</v>
      </c>
    </row>
    <row r="39" spans="1:14" ht="30">
      <c r="A39" s="16" t="s">
        <v>50</v>
      </c>
      <c r="B39" s="101">
        <v>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  <c r="N39" s="112">
        <f t="shared" si="5"/>
        <v>0</v>
      </c>
    </row>
    <row r="40" spans="1:14" ht="30">
      <c r="A40" s="16" t="s">
        <v>51</v>
      </c>
      <c r="B40" s="101">
        <v>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N40" s="112">
        <f t="shared" si="5"/>
        <v>0</v>
      </c>
    </row>
    <row r="41" spans="1:14" ht="15">
      <c r="A41" s="16" t="s">
        <v>108</v>
      </c>
      <c r="B41" s="101">
        <v>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12">
        <f t="shared" si="5"/>
        <v>0</v>
      </c>
    </row>
    <row r="42" spans="1:14" ht="30">
      <c r="A42" s="16" t="s">
        <v>52</v>
      </c>
      <c r="B42" s="101">
        <v>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12">
        <f t="shared" si="5"/>
        <v>0</v>
      </c>
    </row>
    <row r="43" spans="1:14" ht="15">
      <c r="A43" s="16" t="s">
        <v>24</v>
      </c>
      <c r="B43" s="144">
        <v>10100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112">
        <f t="shared" si="5"/>
        <v>10100</v>
      </c>
    </row>
    <row r="44" spans="1:14" ht="30">
      <c r="A44" s="16" t="s">
        <v>53</v>
      </c>
      <c r="B44" s="101">
        <v>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  <c r="N44" s="112">
        <f t="shared" si="5"/>
        <v>0</v>
      </c>
    </row>
    <row r="45" spans="1:14" ht="15">
      <c r="A45" s="16" t="s">
        <v>54</v>
      </c>
      <c r="B45" s="101">
        <v>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112">
        <f t="shared" si="5"/>
        <v>0</v>
      </c>
    </row>
    <row r="46" spans="1:14" ht="45">
      <c r="A46" s="16" t="s">
        <v>55</v>
      </c>
      <c r="B46" s="144">
        <v>64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112">
        <f t="shared" si="5"/>
        <v>64</v>
      </c>
    </row>
    <row r="47" spans="1:14" ht="15">
      <c r="A47" s="16" t="s">
        <v>109</v>
      </c>
      <c r="B47" s="101">
        <v>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  <c r="N47" s="112">
        <f t="shared" si="5"/>
        <v>0</v>
      </c>
    </row>
    <row r="48" spans="1:14" ht="15">
      <c r="A48" s="16" t="s">
        <v>125</v>
      </c>
      <c r="B48" s="144">
        <v>4191.38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  <c r="N48" s="112">
        <f t="shared" si="5"/>
        <v>4191.38</v>
      </c>
    </row>
    <row r="49" spans="1:14" ht="30">
      <c r="A49" s="16" t="s">
        <v>58</v>
      </c>
      <c r="B49" s="144">
        <f aca="true" t="shared" si="6" ref="B49:M49">SUM(B50:B52)</f>
        <v>233694.72</v>
      </c>
      <c r="C49" s="101">
        <f t="shared" si="6"/>
        <v>0</v>
      </c>
      <c r="D49" s="101">
        <f t="shared" si="6"/>
        <v>0</v>
      </c>
      <c r="E49" s="101">
        <f t="shared" si="6"/>
        <v>0</v>
      </c>
      <c r="F49" s="101">
        <f t="shared" si="6"/>
        <v>0</v>
      </c>
      <c r="G49" s="101">
        <f t="shared" si="6"/>
        <v>0</v>
      </c>
      <c r="H49" s="101">
        <f t="shared" si="6"/>
        <v>0</v>
      </c>
      <c r="I49" s="101">
        <f t="shared" si="6"/>
        <v>0</v>
      </c>
      <c r="J49" s="101">
        <f t="shared" si="6"/>
        <v>0</v>
      </c>
      <c r="K49" s="101">
        <f t="shared" si="6"/>
        <v>0</v>
      </c>
      <c r="L49" s="101">
        <f t="shared" si="6"/>
        <v>0</v>
      </c>
      <c r="M49" s="101">
        <f t="shared" si="6"/>
        <v>0</v>
      </c>
      <c r="N49" s="112">
        <f t="shared" si="5"/>
        <v>233694.72</v>
      </c>
    </row>
    <row r="50" spans="1:14" ht="15">
      <c r="A50" s="52" t="s">
        <v>123</v>
      </c>
      <c r="B50" s="144">
        <v>229497.03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  <c r="N50" s="112">
        <f t="shared" si="5"/>
        <v>229497.03</v>
      </c>
    </row>
    <row r="51" spans="1:14" ht="15">
      <c r="A51" s="52" t="s">
        <v>127</v>
      </c>
      <c r="B51" s="153">
        <v>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112">
        <f t="shared" si="5"/>
        <v>0</v>
      </c>
    </row>
    <row r="52" spans="1:14" ht="30">
      <c r="A52" s="52" t="s">
        <v>124</v>
      </c>
      <c r="B52" s="144">
        <v>4197.69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  <c r="N52" s="112">
        <f t="shared" si="5"/>
        <v>4197.69</v>
      </c>
    </row>
    <row r="53" spans="1:14" ht="15.75" thickBot="1">
      <c r="A53" s="19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2"/>
      <c r="N53" s="112">
        <f t="shared" si="5"/>
        <v>0</v>
      </c>
    </row>
    <row r="54" spans="1:14" ht="30.75" thickBot="1">
      <c r="A54" s="20" t="s">
        <v>25</v>
      </c>
      <c r="B54" s="168">
        <f>SUM(B33:B49,)</f>
        <v>254205.21</v>
      </c>
      <c r="C54" s="117">
        <f aca="true" t="shared" si="7" ref="C54:N54">SUM(C33:C49,)</f>
        <v>0</v>
      </c>
      <c r="D54" s="117">
        <f t="shared" si="7"/>
        <v>0</v>
      </c>
      <c r="E54" s="117">
        <f t="shared" si="7"/>
        <v>0</v>
      </c>
      <c r="F54" s="117">
        <f t="shared" si="7"/>
        <v>0</v>
      </c>
      <c r="G54" s="117">
        <f t="shared" si="7"/>
        <v>0</v>
      </c>
      <c r="H54" s="117">
        <f t="shared" si="7"/>
        <v>0</v>
      </c>
      <c r="I54" s="117">
        <f t="shared" si="7"/>
        <v>0</v>
      </c>
      <c r="J54" s="117">
        <f t="shared" si="7"/>
        <v>0</v>
      </c>
      <c r="K54" s="117">
        <f t="shared" si="7"/>
        <v>0</v>
      </c>
      <c r="L54" s="117">
        <f t="shared" si="7"/>
        <v>0</v>
      </c>
      <c r="M54" s="118">
        <f t="shared" si="7"/>
        <v>0</v>
      </c>
      <c r="N54" s="113">
        <f t="shared" si="7"/>
        <v>254205.21</v>
      </c>
    </row>
    <row r="55" ht="15"/>
    <row r="56" ht="15">
      <c r="C56" s="123"/>
    </row>
    <row r="57" ht="15"/>
    <row r="58" ht="15"/>
    <row r="59" ht="15">
      <c r="B59" s="123"/>
    </row>
    <row r="60" ht="15"/>
    <row r="61" ht="15">
      <c r="B61" s="123"/>
    </row>
  </sheetData>
  <sheetProtection/>
  <mergeCells count="4">
    <mergeCell ref="A1:N1"/>
    <mergeCell ref="A2:N2"/>
    <mergeCell ref="A29:N29"/>
    <mergeCell ref="A30:N30"/>
  </mergeCells>
  <printOptions horizontalCentered="1"/>
  <pageMargins left="0.2362204724409449" right="0.2362204724409449" top="0.7874015748031497" bottom="0.03937007874015748" header="0.31496062992125984" footer="0"/>
  <pageSetup fitToHeight="1" fitToWidth="1" horizontalDpi="600" verticalDpi="6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59.28125" style="0" customWidth="1"/>
    <col min="2" max="3" width="12.7109375" style="0" customWidth="1"/>
    <col min="4" max="4" width="9.28125" style="0" bestFit="1" customWidth="1"/>
    <col min="5" max="5" width="10.00390625" style="0" bestFit="1" customWidth="1"/>
    <col min="6" max="13" width="9.28125" style="0" bestFit="1" customWidth="1"/>
    <col min="14" max="14" width="12.57421875" style="0" customWidth="1"/>
    <col min="16" max="16" width="10.00390625" style="0" bestFit="1" customWidth="1"/>
  </cols>
  <sheetData>
    <row r="1" spans="1:14" ht="15">
      <c r="A1" s="183" t="s">
        <v>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">
      <c r="A3" s="183" t="s">
        <v>31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ht="15.75" thickBot="1"/>
    <row r="5" spans="1:14" ht="24" customHeight="1" thickBot="1">
      <c r="A5" s="42"/>
      <c r="B5" s="43">
        <v>41214</v>
      </c>
      <c r="C5" s="43">
        <v>41244</v>
      </c>
      <c r="D5" s="43">
        <v>41275</v>
      </c>
      <c r="E5" s="43">
        <v>41306</v>
      </c>
      <c r="F5" s="43">
        <v>41334</v>
      </c>
      <c r="G5" s="43">
        <v>41365</v>
      </c>
      <c r="H5" s="43">
        <v>41395</v>
      </c>
      <c r="I5" s="43">
        <v>41426</v>
      </c>
      <c r="J5" s="43">
        <v>41456</v>
      </c>
      <c r="K5" s="43">
        <v>41487</v>
      </c>
      <c r="L5" s="43">
        <v>41518</v>
      </c>
      <c r="M5" s="44">
        <v>41548</v>
      </c>
      <c r="N5" s="45" t="s">
        <v>16</v>
      </c>
    </row>
    <row r="6" spans="1:14" ht="15">
      <c r="A6" s="58" t="s">
        <v>64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9"/>
      <c r="N6" s="47"/>
    </row>
    <row r="7" spans="1:14" ht="15">
      <c r="A7" s="56" t="s">
        <v>65</v>
      </c>
      <c r="B7" s="154">
        <f>466.16+66.8+3654.68+37.7+100.8+33.5+33.16</f>
        <v>4392.799999999999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95">
        <f>SUM(B7:M7)</f>
        <v>4392.799999999999</v>
      </c>
    </row>
    <row r="8" spans="1:14" ht="15">
      <c r="A8" s="41" t="s">
        <v>83</v>
      </c>
      <c r="B8" s="90">
        <v>131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N8" s="92">
        <f aca="true" t="shared" si="0" ref="N8:N43">SUM(B8:M8)</f>
        <v>131</v>
      </c>
    </row>
    <row r="9" spans="1:14" ht="15">
      <c r="A9" s="41" t="s">
        <v>84</v>
      </c>
      <c r="B9" s="154">
        <v>28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95">
        <f t="shared" si="0"/>
        <v>28</v>
      </c>
    </row>
    <row r="10" spans="1:14" ht="15">
      <c r="A10" s="63" t="s">
        <v>90</v>
      </c>
      <c r="B10" s="87">
        <f>B11+B18</f>
        <v>1621710.8</v>
      </c>
      <c r="C10" s="87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141">
        <f t="shared" si="0"/>
        <v>1621710.8</v>
      </c>
    </row>
    <row r="11" spans="1:14" ht="15">
      <c r="A11" s="62" t="s">
        <v>91</v>
      </c>
      <c r="B11" s="88">
        <f>B12+B14+B17</f>
        <v>1588110.8</v>
      </c>
      <c r="C11" s="88"/>
      <c r="D11" s="57"/>
      <c r="E11" s="57"/>
      <c r="F11" s="57"/>
      <c r="G11" s="57"/>
      <c r="H11" s="57"/>
      <c r="I11" s="57"/>
      <c r="J11" s="57"/>
      <c r="K11" s="57"/>
      <c r="L11" s="57"/>
      <c r="M11" s="59"/>
      <c r="N11" s="97">
        <f t="shared" si="0"/>
        <v>1588110.8</v>
      </c>
    </row>
    <row r="12" spans="1:14" ht="15">
      <c r="A12" s="66" t="s">
        <v>139</v>
      </c>
      <c r="B12" s="89">
        <f>+B13</f>
        <v>0</v>
      </c>
      <c r="C12" s="89"/>
      <c r="D12" s="2"/>
      <c r="E12" s="2"/>
      <c r="F12" s="2"/>
      <c r="G12" s="2"/>
      <c r="H12" s="2"/>
      <c r="I12" s="2"/>
      <c r="J12" s="2"/>
      <c r="K12" s="2"/>
      <c r="L12" s="2"/>
      <c r="M12" s="6"/>
      <c r="N12" s="98">
        <f t="shared" si="0"/>
        <v>0</v>
      </c>
    </row>
    <row r="13" spans="1:14" ht="15">
      <c r="A13" s="67" t="s">
        <v>60</v>
      </c>
      <c r="B13" s="143">
        <v>0</v>
      </c>
      <c r="C13" s="89"/>
      <c r="D13" s="2"/>
      <c r="E13" s="2"/>
      <c r="F13" s="2"/>
      <c r="G13" s="2"/>
      <c r="H13" s="2"/>
      <c r="I13" s="2"/>
      <c r="J13" s="2"/>
      <c r="K13" s="2"/>
      <c r="L13" s="2"/>
      <c r="M13" s="6"/>
      <c r="N13" s="98">
        <f t="shared" si="0"/>
        <v>0</v>
      </c>
    </row>
    <row r="14" spans="1:14" ht="15">
      <c r="A14" s="66" t="s">
        <v>140</v>
      </c>
      <c r="B14" s="155">
        <f>SUM(B15:B16)</f>
        <v>1351972.8</v>
      </c>
      <c r="C14" s="89"/>
      <c r="D14" s="2"/>
      <c r="E14" s="2"/>
      <c r="F14" s="2"/>
      <c r="G14" s="2"/>
      <c r="H14" s="2"/>
      <c r="I14" s="2"/>
      <c r="J14" s="2"/>
      <c r="K14" s="2"/>
      <c r="L14" s="2"/>
      <c r="M14" s="6"/>
      <c r="N14" s="98">
        <f t="shared" si="0"/>
        <v>1351972.8</v>
      </c>
    </row>
    <row r="15" spans="1:14" ht="15">
      <c r="A15" s="67" t="s">
        <v>59</v>
      </c>
      <c r="B15" s="143">
        <f>1315684.8</f>
        <v>1315684.8</v>
      </c>
      <c r="C15" s="89"/>
      <c r="D15" s="2"/>
      <c r="E15" s="2"/>
      <c r="F15" s="2"/>
      <c r="G15" s="2"/>
      <c r="H15" s="2"/>
      <c r="I15" s="2"/>
      <c r="J15" s="2"/>
      <c r="K15" s="2"/>
      <c r="L15" s="2"/>
      <c r="M15" s="6"/>
      <c r="N15" s="98">
        <f t="shared" si="0"/>
        <v>1315684.8</v>
      </c>
    </row>
    <row r="16" spans="1:14" ht="15">
      <c r="A16" s="67" t="s">
        <v>62</v>
      </c>
      <c r="B16" s="143">
        <v>36288</v>
      </c>
      <c r="C16" s="89"/>
      <c r="D16" s="2"/>
      <c r="E16" s="2"/>
      <c r="F16" s="2"/>
      <c r="G16" s="2"/>
      <c r="H16" s="2"/>
      <c r="I16" s="2"/>
      <c r="J16" s="2"/>
      <c r="K16" s="2"/>
      <c r="L16" s="2"/>
      <c r="M16" s="6"/>
      <c r="N16" s="98">
        <f t="shared" si="0"/>
        <v>36288</v>
      </c>
    </row>
    <row r="17" spans="1:14" ht="15">
      <c r="A17" s="66" t="s">
        <v>141</v>
      </c>
      <c r="B17" s="143">
        <f>172505.7+24716+6786+12897.5+19232.8</f>
        <v>236138</v>
      </c>
      <c r="C17" s="89"/>
      <c r="D17" s="2"/>
      <c r="E17" s="2"/>
      <c r="F17" s="2"/>
      <c r="G17" s="2"/>
      <c r="H17" s="2"/>
      <c r="I17" s="2"/>
      <c r="J17" s="2"/>
      <c r="K17" s="2"/>
      <c r="L17" s="2"/>
      <c r="M17" s="6"/>
      <c r="N17" s="98">
        <f t="shared" si="0"/>
        <v>236138</v>
      </c>
    </row>
    <row r="18" spans="1:14" ht="30">
      <c r="A18" s="68" t="s">
        <v>92</v>
      </c>
      <c r="B18" s="88">
        <f>B19+B21+B24</f>
        <v>33600</v>
      </c>
      <c r="C18" s="88"/>
      <c r="D18" s="57"/>
      <c r="E18" s="57"/>
      <c r="F18" s="57"/>
      <c r="G18" s="57"/>
      <c r="H18" s="57"/>
      <c r="I18" s="57"/>
      <c r="J18" s="57"/>
      <c r="K18" s="57"/>
      <c r="L18" s="57"/>
      <c r="M18" s="59"/>
      <c r="N18" s="97">
        <f t="shared" si="0"/>
        <v>33600</v>
      </c>
    </row>
    <row r="19" spans="1:14" ht="15">
      <c r="A19" s="66" t="s">
        <v>139</v>
      </c>
      <c r="B19" s="89">
        <f>+B20</f>
        <v>0</v>
      </c>
      <c r="C19" s="89"/>
      <c r="D19" s="2"/>
      <c r="E19" s="2"/>
      <c r="F19" s="2"/>
      <c r="G19" s="2"/>
      <c r="H19" s="2"/>
      <c r="I19" s="2"/>
      <c r="J19" s="2"/>
      <c r="K19" s="2"/>
      <c r="L19" s="2"/>
      <c r="M19" s="6"/>
      <c r="N19" s="98">
        <f t="shared" si="0"/>
        <v>0</v>
      </c>
    </row>
    <row r="20" spans="1:14" ht="15">
      <c r="A20" s="67" t="s">
        <v>60</v>
      </c>
      <c r="B20" s="143">
        <v>0</v>
      </c>
      <c r="C20" s="89"/>
      <c r="D20" s="2"/>
      <c r="E20" s="2"/>
      <c r="F20" s="2"/>
      <c r="G20" s="2"/>
      <c r="H20" s="2"/>
      <c r="I20" s="2"/>
      <c r="J20" s="2"/>
      <c r="K20" s="2"/>
      <c r="L20" s="2"/>
      <c r="M20" s="6"/>
      <c r="N20" s="98">
        <f t="shared" si="0"/>
        <v>0</v>
      </c>
    </row>
    <row r="21" spans="1:14" ht="15">
      <c r="A21" s="66" t="s">
        <v>140</v>
      </c>
      <c r="B21" s="89">
        <f>SUM(B22:B23)</f>
        <v>33600</v>
      </c>
      <c r="C21" s="89"/>
      <c r="D21" s="2"/>
      <c r="E21" s="2"/>
      <c r="F21" s="2"/>
      <c r="G21" s="2"/>
      <c r="H21" s="2"/>
      <c r="I21" s="2"/>
      <c r="J21" s="2"/>
      <c r="K21" s="2"/>
      <c r="L21" s="2"/>
      <c r="M21" s="6"/>
      <c r="N21" s="98">
        <f t="shared" si="0"/>
        <v>33600</v>
      </c>
    </row>
    <row r="22" spans="1:14" ht="15">
      <c r="A22" s="67" t="s">
        <v>59</v>
      </c>
      <c r="B22" s="143">
        <v>33600</v>
      </c>
      <c r="C22" s="89"/>
      <c r="D22" s="2"/>
      <c r="E22" s="2"/>
      <c r="F22" s="2"/>
      <c r="G22" s="2"/>
      <c r="H22" s="2"/>
      <c r="I22" s="2"/>
      <c r="J22" s="2"/>
      <c r="K22" s="2"/>
      <c r="L22" s="2"/>
      <c r="M22" s="6"/>
      <c r="N22" s="98">
        <f t="shared" si="0"/>
        <v>33600</v>
      </c>
    </row>
    <row r="23" spans="1:14" ht="15">
      <c r="A23" s="67" t="s">
        <v>62</v>
      </c>
      <c r="B23" s="143">
        <v>0</v>
      </c>
      <c r="C23" s="89"/>
      <c r="D23" s="2"/>
      <c r="E23" s="2"/>
      <c r="F23" s="2"/>
      <c r="G23" s="2"/>
      <c r="H23" s="2"/>
      <c r="I23" s="2"/>
      <c r="J23" s="2"/>
      <c r="K23" s="2"/>
      <c r="L23" s="2"/>
      <c r="M23" s="6"/>
      <c r="N23" s="98">
        <f t="shared" si="0"/>
        <v>0</v>
      </c>
    </row>
    <row r="24" spans="1:14" ht="15">
      <c r="A24" s="66" t="s">
        <v>141</v>
      </c>
      <c r="B24" s="143">
        <v>0</v>
      </c>
      <c r="C24" s="89"/>
      <c r="D24" s="2"/>
      <c r="E24" s="2"/>
      <c r="F24" s="2"/>
      <c r="G24" s="2"/>
      <c r="H24" s="2"/>
      <c r="I24" s="2"/>
      <c r="J24" s="2"/>
      <c r="K24" s="2"/>
      <c r="L24" s="2"/>
      <c r="M24" s="6"/>
      <c r="N24" s="98">
        <f t="shared" si="0"/>
        <v>0</v>
      </c>
    </row>
    <row r="25" spans="1:14" ht="15">
      <c r="A25" s="29" t="s">
        <v>1</v>
      </c>
      <c r="B25" s="152">
        <f>SUM(B26:B27,B30:B39)</f>
        <v>1156065.62</v>
      </c>
      <c r="C25" s="84"/>
      <c r="D25" s="3"/>
      <c r="E25" s="3"/>
      <c r="F25" s="3"/>
      <c r="G25" s="3"/>
      <c r="H25" s="3"/>
      <c r="I25" s="3"/>
      <c r="J25" s="3"/>
      <c r="K25" s="3"/>
      <c r="L25" s="3"/>
      <c r="M25" s="10"/>
      <c r="N25" s="86">
        <f t="shared" si="0"/>
        <v>1156065.62</v>
      </c>
    </row>
    <row r="26" spans="1:14" ht="15">
      <c r="A26" s="54" t="s">
        <v>68</v>
      </c>
      <c r="B26" s="144">
        <v>0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3">
        <f t="shared" si="0"/>
        <v>0</v>
      </c>
    </row>
    <row r="27" spans="1:14" ht="15">
      <c r="A27" s="54" t="s">
        <v>71</v>
      </c>
      <c r="B27" s="144">
        <f>SUM(B28:B29)</f>
        <v>110869.43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03">
        <f t="shared" si="0"/>
        <v>110869.43</v>
      </c>
    </row>
    <row r="28" spans="1:14" s="32" customFormat="1" ht="15" customHeight="1">
      <c r="A28" s="71" t="s">
        <v>69</v>
      </c>
      <c r="B28" s="122">
        <v>110869.43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4"/>
      <c r="N28" s="105">
        <f t="shared" si="0"/>
        <v>110869.43</v>
      </c>
    </row>
    <row r="29" spans="1:14" s="32" customFormat="1" ht="25.5">
      <c r="A29" s="71" t="s">
        <v>70</v>
      </c>
      <c r="B29" s="122">
        <v>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4"/>
      <c r="N29" s="105">
        <f t="shared" si="0"/>
        <v>0</v>
      </c>
    </row>
    <row r="30" spans="1:14" s="32" customFormat="1" ht="15">
      <c r="A30" s="54" t="s">
        <v>110</v>
      </c>
      <c r="B30" s="143">
        <v>339084.84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4"/>
      <c r="N30" s="105">
        <f t="shared" si="0"/>
        <v>339084.84</v>
      </c>
    </row>
    <row r="31" spans="1:14" s="32" customFormat="1" ht="15">
      <c r="A31" s="145" t="s">
        <v>126</v>
      </c>
      <c r="B31" s="143">
        <v>9072.88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4"/>
      <c r="N31" s="105">
        <f t="shared" si="0"/>
        <v>9072.88</v>
      </c>
    </row>
    <row r="32" spans="1:14" ht="15">
      <c r="A32" s="54" t="s">
        <v>18</v>
      </c>
      <c r="B32" s="144">
        <v>325320.86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103">
        <f t="shared" si="0"/>
        <v>325320.86</v>
      </c>
    </row>
    <row r="33" spans="1:14" ht="15">
      <c r="A33" s="54" t="s">
        <v>134</v>
      </c>
      <c r="B33" s="144">
        <v>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103">
        <f t="shared" si="0"/>
        <v>0</v>
      </c>
    </row>
    <row r="34" spans="1:14" ht="15">
      <c r="A34" s="54" t="s">
        <v>128</v>
      </c>
      <c r="B34" s="144">
        <v>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N34" s="103">
        <f t="shared" si="0"/>
        <v>0</v>
      </c>
    </row>
    <row r="35" spans="1:14" ht="15">
      <c r="A35" s="54" t="s">
        <v>103</v>
      </c>
      <c r="B35" s="144">
        <v>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103">
        <f t="shared" si="0"/>
        <v>0</v>
      </c>
    </row>
    <row r="36" spans="1:14" ht="15">
      <c r="A36" s="54" t="s">
        <v>73</v>
      </c>
      <c r="B36" s="143">
        <v>25600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103">
        <f t="shared" si="0"/>
        <v>25600</v>
      </c>
    </row>
    <row r="37" spans="1:14" ht="15">
      <c r="A37" s="54" t="s">
        <v>136</v>
      </c>
      <c r="B37" s="144">
        <v>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103">
        <f t="shared" si="0"/>
        <v>0</v>
      </c>
    </row>
    <row r="38" spans="1:14" ht="15">
      <c r="A38" s="54" t="s">
        <v>135</v>
      </c>
      <c r="B38" s="144">
        <v>0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103">
        <f t="shared" si="0"/>
        <v>0</v>
      </c>
    </row>
    <row r="39" spans="1:14" ht="15">
      <c r="A39" s="54" t="s">
        <v>72</v>
      </c>
      <c r="B39" s="143">
        <f>SUM(B40:B42)</f>
        <v>346117.61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9"/>
      <c r="N39" s="98">
        <f t="shared" si="0"/>
        <v>346117.61</v>
      </c>
    </row>
    <row r="40" spans="1:14" s="32" customFormat="1" ht="15">
      <c r="A40" s="72" t="s">
        <v>19</v>
      </c>
      <c r="B40" s="142">
        <v>241193.61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106"/>
      <c r="N40" s="107">
        <f t="shared" si="0"/>
        <v>241193.61</v>
      </c>
    </row>
    <row r="41" spans="1:14" s="32" customFormat="1" ht="15">
      <c r="A41" s="72" t="s">
        <v>127</v>
      </c>
      <c r="B41" s="142">
        <v>0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106"/>
      <c r="N41" s="107">
        <f t="shared" si="0"/>
        <v>0</v>
      </c>
    </row>
    <row r="42" spans="1:14" s="32" customFormat="1" ht="15">
      <c r="A42" s="72" t="s">
        <v>44</v>
      </c>
      <c r="B42" s="142">
        <v>104924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6"/>
      <c r="N42" s="107">
        <f t="shared" si="0"/>
        <v>104924</v>
      </c>
    </row>
    <row r="43" spans="1:14" ht="15">
      <c r="A43" s="61" t="s">
        <v>2</v>
      </c>
      <c r="B43" s="124">
        <f>B10-B25</f>
        <v>465645.17999999993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126">
        <f t="shared" si="0"/>
        <v>465645.17999999993</v>
      </c>
    </row>
    <row r="44" spans="1:14" s="32" customFormat="1" ht="15">
      <c r="A44" s="73" t="s">
        <v>78</v>
      </c>
      <c r="B44" s="76">
        <f>B43/B10</f>
        <v>0.287132070650328</v>
      </c>
      <c r="C44" s="76"/>
      <c r="D44" s="133"/>
      <c r="E44" s="133"/>
      <c r="F44" s="133"/>
      <c r="G44" s="133"/>
      <c r="H44" s="133"/>
      <c r="I44" s="133"/>
      <c r="J44" s="133"/>
      <c r="K44" s="133"/>
      <c r="L44" s="133"/>
      <c r="M44" s="134"/>
      <c r="N44" s="78">
        <f>N43/N10</f>
        <v>0.287132070650328</v>
      </c>
    </row>
    <row r="45" spans="1:14" s="32" customFormat="1" ht="15">
      <c r="A45" s="73" t="s">
        <v>105</v>
      </c>
      <c r="B45" s="96">
        <f>B25/B7</f>
        <v>263.1728328173375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06"/>
      <c r="N45" s="107">
        <f>N25/N7</f>
        <v>263.1728328173375</v>
      </c>
    </row>
    <row r="46" spans="1:14" ht="15">
      <c r="A46" s="16" t="s">
        <v>75</v>
      </c>
      <c r="B46" s="143">
        <v>34742.08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8">
        <f aca="true" t="shared" si="1" ref="N46:N55">SUM(B46:M46)</f>
        <v>34742.08</v>
      </c>
    </row>
    <row r="47" spans="1:14" ht="15">
      <c r="A47" s="16" t="s">
        <v>76</v>
      </c>
      <c r="B47" s="143">
        <v>158100.73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8">
        <f t="shared" si="1"/>
        <v>158100.73</v>
      </c>
    </row>
    <row r="48" spans="1:14" ht="15">
      <c r="A48" s="4" t="s">
        <v>80</v>
      </c>
      <c r="B48" s="84">
        <f>B43-B46-B47</f>
        <v>272802.3699999999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5"/>
      <c r="N48" s="86">
        <f t="shared" si="1"/>
        <v>272802.3699999999</v>
      </c>
    </row>
    <row r="49" spans="1:14" s="32" customFormat="1" ht="15">
      <c r="A49" s="74" t="s">
        <v>81</v>
      </c>
      <c r="B49" s="76">
        <f>B48/B10</f>
        <v>0.16821887724987702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140">
        <f>N48/N10</f>
        <v>0.16821887724987702</v>
      </c>
    </row>
    <row r="50" spans="1:14" s="32" customFormat="1" ht="15">
      <c r="A50" s="81" t="s">
        <v>82</v>
      </c>
      <c r="B50" s="127">
        <f>(B25+B46+B47)/B7</f>
        <v>307.07258013112374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9">
        <f>(N25+N46+N47)/N7</f>
        <v>307.07258013112374</v>
      </c>
    </row>
    <row r="51" spans="1:14" ht="15">
      <c r="A51" s="69" t="s">
        <v>89</v>
      </c>
      <c r="B51" s="146">
        <f>SUM(B52:B54)</f>
        <v>431056.76</v>
      </c>
      <c r="C51" s="152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86">
        <f t="shared" si="1"/>
        <v>431056.76</v>
      </c>
    </row>
    <row r="52" spans="1:14" ht="15">
      <c r="A52" s="40" t="s">
        <v>130</v>
      </c>
      <c r="B52" s="143">
        <v>178666.66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8">
        <f t="shared" si="1"/>
        <v>178666.66</v>
      </c>
    </row>
    <row r="53" spans="1:14" ht="15">
      <c r="A53" s="40" t="s">
        <v>129</v>
      </c>
      <c r="B53" s="143">
        <v>246326.17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8">
        <f t="shared" si="1"/>
        <v>246326.17</v>
      </c>
    </row>
    <row r="54" spans="1:14" ht="15">
      <c r="A54" s="40" t="s">
        <v>85</v>
      </c>
      <c r="B54" s="143">
        <v>6063.93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98">
        <f t="shared" si="1"/>
        <v>6063.93</v>
      </c>
    </row>
    <row r="55" spans="1:14" ht="15">
      <c r="A55" s="69" t="s">
        <v>86</v>
      </c>
      <c r="B55" s="146">
        <f>B48-B51</f>
        <v>-158254.39000000013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  <c r="N55" s="86">
        <f t="shared" si="1"/>
        <v>-158254.39000000013</v>
      </c>
    </row>
    <row r="56" spans="1:14" s="32" customFormat="1" ht="15">
      <c r="A56" s="74" t="s">
        <v>87</v>
      </c>
      <c r="B56" s="76">
        <f>B55/B10</f>
        <v>-0.09758484065099654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7"/>
      <c r="N56" s="78">
        <f>N55/N10</f>
        <v>-0.09758484065099654</v>
      </c>
    </row>
    <row r="57" spans="1:14" s="32" customFormat="1" ht="15.75" thickBot="1">
      <c r="A57" s="75" t="s">
        <v>104</v>
      </c>
      <c r="B57" s="48">
        <f>(B25+B46+B47+B51)/B7</f>
        <v>405.20059870697514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50">
        <f>(N25+N46+N47+N51)/N7</f>
        <v>405.20059870697514</v>
      </c>
    </row>
    <row r="60" spans="2:5" ht="15">
      <c r="B60" s="137"/>
      <c r="C60" s="137"/>
      <c r="E60" s="137"/>
    </row>
    <row r="61" ht="15">
      <c r="C61" s="137"/>
    </row>
    <row r="62" ht="15">
      <c r="C62" s="137"/>
    </row>
  </sheetData>
  <sheetProtection/>
  <mergeCells count="3">
    <mergeCell ref="A1:N1"/>
    <mergeCell ref="A2:N2"/>
    <mergeCell ref="A3:N3"/>
  </mergeCells>
  <printOptions horizontalCentered="1"/>
  <pageMargins left="0" right="0" top="0.7874015748031497" bottom="0" header="0.31496062992125984" footer="0"/>
  <pageSetup fitToHeight="1" fitToWidth="1" horizontalDpi="600" verticalDpi="600" orientation="landscape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59.28125" style="0" customWidth="1"/>
    <col min="2" max="2" width="11.00390625" style="0" customWidth="1"/>
    <col min="3" max="3" width="10.57421875" style="0" bestFit="1" customWidth="1"/>
    <col min="4" max="13" width="9.28125" style="0" bestFit="1" customWidth="1"/>
    <col min="14" max="14" width="13.57421875" style="0" customWidth="1"/>
  </cols>
  <sheetData>
    <row r="1" spans="1:14" ht="15">
      <c r="A1" s="183" t="s">
        <v>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">
      <c r="A3" s="183" t="s">
        <v>32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ht="15.75" thickBot="1"/>
    <row r="5" spans="1:14" ht="24" customHeight="1" thickBot="1">
      <c r="A5" s="42"/>
      <c r="B5" s="43">
        <v>41214</v>
      </c>
      <c r="C5" s="43">
        <v>41244</v>
      </c>
      <c r="D5" s="43">
        <v>41275</v>
      </c>
      <c r="E5" s="43">
        <v>41306</v>
      </c>
      <c r="F5" s="43">
        <v>41334</v>
      </c>
      <c r="G5" s="43">
        <v>41365</v>
      </c>
      <c r="H5" s="43">
        <v>41395</v>
      </c>
      <c r="I5" s="43">
        <v>41426</v>
      </c>
      <c r="J5" s="43">
        <v>41456</v>
      </c>
      <c r="K5" s="43">
        <v>41487</v>
      </c>
      <c r="L5" s="43">
        <v>41518</v>
      </c>
      <c r="M5" s="44">
        <v>41548</v>
      </c>
      <c r="N5" s="45" t="s">
        <v>16</v>
      </c>
    </row>
    <row r="6" spans="1:14" ht="15">
      <c r="A6" s="55" t="s">
        <v>67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9"/>
      <c r="N6" s="60"/>
    </row>
    <row r="7" spans="1:14" ht="15">
      <c r="A7" s="41" t="s">
        <v>66</v>
      </c>
      <c r="B7" s="90">
        <v>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92">
        <f>SUM(B7:M7)</f>
        <v>0</v>
      </c>
    </row>
    <row r="8" spans="1:14" ht="15">
      <c r="A8" s="63" t="s">
        <v>93</v>
      </c>
      <c r="B8" s="64">
        <f>B9+B11+B14</f>
        <v>0</v>
      </c>
      <c r="C8" s="87"/>
      <c r="D8" s="64"/>
      <c r="E8" s="64"/>
      <c r="F8" s="64"/>
      <c r="G8" s="64"/>
      <c r="H8" s="64"/>
      <c r="I8" s="64"/>
      <c r="J8" s="64"/>
      <c r="K8" s="64"/>
      <c r="L8" s="64"/>
      <c r="M8" s="65"/>
      <c r="N8" s="141">
        <f aca="true" t="shared" si="0" ref="N8:N33">SUM(B8:M8)</f>
        <v>0</v>
      </c>
    </row>
    <row r="9" spans="1:14" ht="15">
      <c r="A9" s="40" t="s">
        <v>139</v>
      </c>
      <c r="B9" s="2">
        <f>+B10</f>
        <v>0</v>
      </c>
      <c r="C9" s="89"/>
      <c r="D9" s="2"/>
      <c r="E9" s="2"/>
      <c r="F9" s="2"/>
      <c r="G9" s="2"/>
      <c r="H9" s="2"/>
      <c r="I9" s="2"/>
      <c r="J9" s="2"/>
      <c r="K9" s="2"/>
      <c r="L9" s="2"/>
      <c r="M9" s="6"/>
      <c r="N9" s="98">
        <f t="shared" si="0"/>
        <v>0</v>
      </c>
    </row>
    <row r="10" spans="1:14" ht="15">
      <c r="A10" s="70" t="s">
        <v>60</v>
      </c>
      <c r="B10" s="147">
        <v>0</v>
      </c>
      <c r="C10" s="89"/>
      <c r="D10" s="2"/>
      <c r="E10" s="2"/>
      <c r="F10" s="2"/>
      <c r="G10" s="2"/>
      <c r="H10" s="2"/>
      <c r="I10" s="2"/>
      <c r="J10" s="2"/>
      <c r="K10" s="2"/>
      <c r="L10" s="2"/>
      <c r="M10" s="6"/>
      <c r="N10" s="98">
        <f t="shared" si="0"/>
        <v>0</v>
      </c>
    </row>
    <row r="11" spans="1:14" ht="15">
      <c r="A11" s="40" t="s">
        <v>140</v>
      </c>
      <c r="B11" s="2">
        <f>SUM(B12:B13)</f>
        <v>0</v>
      </c>
      <c r="C11" s="89"/>
      <c r="D11" s="2"/>
      <c r="E11" s="2"/>
      <c r="F11" s="2"/>
      <c r="G11" s="2"/>
      <c r="H11" s="2"/>
      <c r="I11" s="2"/>
      <c r="J11" s="2"/>
      <c r="K11" s="2"/>
      <c r="L11" s="2"/>
      <c r="M11" s="6"/>
      <c r="N11" s="98">
        <f t="shared" si="0"/>
        <v>0</v>
      </c>
    </row>
    <row r="12" spans="1:14" s="32" customFormat="1" ht="15">
      <c r="A12" s="79" t="s">
        <v>62</v>
      </c>
      <c r="B12" s="148">
        <v>0</v>
      </c>
      <c r="C12" s="96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107">
        <f t="shared" si="0"/>
        <v>0</v>
      </c>
    </row>
    <row r="13" spans="1:14" s="32" customFormat="1" ht="15">
      <c r="A13" s="79" t="s">
        <v>63</v>
      </c>
      <c r="B13" s="148">
        <v>0</v>
      </c>
      <c r="C13" s="96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107">
        <f t="shared" si="0"/>
        <v>0</v>
      </c>
    </row>
    <row r="14" spans="1:14" ht="15">
      <c r="A14" s="40" t="s">
        <v>141</v>
      </c>
      <c r="B14" s="147">
        <v>0</v>
      </c>
      <c r="C14" s="89"/>
      <c r="D14" s="2"/>
      <c r="E14" s="2"/>
      <c r="F14" s="2"/>
      <c r="G14" s="2"/>
      <c r="H14" s="2"/>
      <c r="I14" s="2"/>
      <c r="J14" s="2"/>
      <c r="K14" s="2"/>
      <c r="L14" s="2"/>
      <c r="M14" s="6"/>
      <c r="N14" s="98">
        <f t="shared" si="0"/>
        <v>0</v>
      </c>
    </row>
    <row r="15" spans="1:14" ht="15">
      <c r="A15" s="29" t="s">
        <v>1</v>
      </c>
      <c r="B15" s="146">
        <f>SUM(B16:B17,B20:B29)</f>
        <v>27278.67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>
        <f t="shared" si="0"/>
        <v>27278.67</v>
      </c>
    </row>
    <row r="16" spans="1:14" ht="15">
      <c r="A16" s="54" t="s">
        <v>68</v>
      </c>
      <c r="B16" s="147">
        <v>0</v>
      </c>
      <c r="C16" s="89"/>
      <c r="D16" s="2"/>
      <c r="E16" s="2"/>
      <c r="F16" s="2"/>
      <c r="G16" s="2"/>
      <c r="H16" s="2"/>
      <c r="I16" s="2"/>
      <c r="J16" s="2"/>
      <c r="K16" s="2"/>
      <c r="L16" s="2"/>
      <c r="M16" s="6"/>
      <c r="N16" s="98">
        <f t="shared" si="0"/>
        <v>0</v>
      </c>
    </row>
    <row r="17" spans="1:14" ht="15">
      <c r="A17" s="54" t="s">
        <v>131</v>
      </c>
      <c r="B17" s="147">
        <f>SUM(B18:B19)</f>
        <v>0</v>
      </c>
      <c r="C17" s="89"/>
      <c r="D17" s="2"/>
      <c r="E17" s="2"/>
      <c r="F17" s="2"/>
      <c r="G17" s="2"/>
      <c r="H17" s="2"/>
      <c r="I17" s="2"/>
      <c r="J17" s="2"/>
      <c r="K17" s="2"/>
      <c r="L17" s="2"/>
      <c r="M17" s="6"/>
      <c r="N17" s="98">
        <f t="shared" si="0"/>
        <v>0</v>
      </c>
    </row>
    <row r="18" spans="1:14" s="32" customFormat="1" ht="25.5">
      <c r="A18" s="71" t="s">
        <v>132</v>
      </c>
      <c r="B18" s="148">
        <v>0</v>
      </c>
      <c r="C18" s="96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107">
        <f t="shared" si="0"/>
        <v>0</v>
      </c>
    </row>
    <row r="19" spans="1:14" s="32" customFormat="1" ht="25.5">
      <c r="A19" s="71" t="s">
        <v>70</v>
      </c>
      <c r="B19" s="148">
        <v>0</v>
      </c>
      <c r="C19" s="96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107">
        <f t="shared" si="0"/>
        <v>0</v>
      </c>
    </row>
    <row r="20" spans="1:14" s="32" customFormat="1" ht="15">
      <c r="A20" s="54" t="s">
        <v>133</v>
      </c>
      <c r="B20" s="147">
        <v>0</v>
      </c>
      <c r="C20" s="96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107">
        <f t="shared" si="0"/>
        <v>0</v>
      </c>
    </row>
    <row r="21" spans="1:14" s="32" customFormat="1" ht="15">
      <c r="A21" s="145" t="s">
        <v>126</v>
      </c>
      <c r="B21" s="147">
        <v>0</v>
      </c>
      <c r="C21" s="96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107">
        <f t="shared" si="0"/>
        <v>0</v>
      </c>
    </row>
    <row r="22" spans="1:14" ht="15">
      <c r="A22" s="54" t="s">
        <v>18</v>
      </c>
      <c r="B22" s="147">
        <v>0</v>
      </c>
      <c r="C22" s="89"/>
      <c r="D22" s="2"/>
      <c r="E22" s="2"/>
      <c r="F22" s="2"/>
      <c r="G22" s="2"/>
      <c r="H22" s="2"/>
      <c r="I22" s="2"/>
      <c r="J22" s="2"/>
      <c r="K22" s="2"/>
      <c r="L22" s="2"/>
      <c r="M22" s="6"/>
      <c r="N22" s="98">
        <f t="shared" si="0"/>
        <v>0</v>
      </c>
    </row>
    <row r="23" spans="1:14" ht="15">
      <c r="A23" s="54" t="s">
        <v>134</v>
      </c>
      <c r="B23" s="147">
        <v>0</v>
      </c>
      <c r="C23" s="89"/>
      <c r="D23" s="2"/>
      <c r="E23" s="2"/>
      <c r="F23" s="2"/>
      <c r="G23" s="2"/>
      <c r="H23" s="2"/>
      <c r="I23" s="2"/>
      <c r="J23" s="2"/>
      <c r="K23" s="2"/>
      <c r="L23" s="2"/>
      <c r="M23" s="6"/>
      <c r="N23" s="107">
        <f t="shared" si="0"/>
        <v>0</v>
      </c>
    </row>
    <row r="24" spans="1:14" ht="15">
      <c r="A24" s="54" t="s">
        <v>111</v>
      </c>
      <c r="B24" s="147">
        <v>0</v>
      </c>
      <c r="C24" s="89"/>
      <c r="D24" s="2"/>
      <c r="E24" s="2"/>
      <c r="F24" s="2"/>
      <c r="G24" s="2"/>
      <c r="H24" s="2"/>
      <c r="I24" s="2"/>
      <c r="J24" s="2"/>
      <c r="K24" s="2"/>
      <c r="L24" s="2"/>
      <c r="M24" s="6"/>
      <c r="N24" s="107">
        <f t="shared" si="0"/>
        <v>0</v>
      </c>
    </row>
    <row r="25" spans="1:14" ht="15">
      <c r="A25" s="54" t="s">
        <v>103</v>
      </c>
      <c r="B25" s="147">
        <v>0</v>
      </c>
      <c r="C25" s="89"/>
      <c r="D25" s="2"/>
      <c r="E25" s="2"/>
      <c r="F25" s="2"/>
      <c r="G25" s="2"/>
      <c r="H25" s="2"/>
      <c r="I25" s="2"/>
      <c r="J25" s="2"/>
      <c r="K25" s="2"/>
      <c r="L25" s="2"/>
      <c r="M25" s="6"/>
      <c r="N25" s="107">
        <f t="shared" si="0"/>
        <v>0</v>
      </c>
    </row>
    <row r="26" spans="1:14" ht="15">
      <c r="A26" s="54" t="s">
        <v>73</v>
      </c>
      <c r="B26" s="147">
        <v>0</v>
      </c>
      <c r="C26" s="89"/>
      <c r="D26" s="2"/>
      <c r="E26" s="2"/>
      <c r="F26" s="2"/>
      <c r="G26" s="2"/>
      <c r="H26" s="2"/>
      <c r="I26" s="2"/>
      <c r="J26" s="2"/>
      <c r="K26" s="2"/>
      <c r="L26" s="2"/>
      <c r="M26" s="6"/>
      <c r="N26" s="107">
        <f t="shared" si="0"/>
        <v>0</v>
      </c>
    </row>
    <row r="27" spans="1:14" ht="15">
      <c r="A27" s="54" t="s">
        <v>118</v>
      </c>
      <c r="B27" s="147">
        <v>0</v>
      </c>
      <c r="C27" s="89"/>
      <c r="D27" s="2"/>
      <c r="E27" s="2"/>
      <c r="F27" s="2"/>
      <c r="G27" s="2"/>
      <c r="H27" s="2"/>
      <c r="I27" s="2"/>
      <c r="J27" s="2"/>
      <c r="K27" s="2"/>
      <c r="L27" s="2"/>
      <c r="M27" s="6"/>
      <c r="N27" s="107">
        <f t="shared" si="0"/>
        <v>0</v>
      </c>
    </row>
    <row r="28" spans="1:14" ht="15">
      <c r="A28" s="54" t="s">
        <v>135</v>
      </c>
      <c r="B28" s="147">
        <v>0</v>
      </c>
      <c r="C28" s="89"/>
      <c r="D28" s="2"/>
      <c r="E28" s="2"/>
      <c r="F28" s="2"/>
      <c r="G28" s="2"/>
      <c r="H28" s="2"/>
      <c r="I28" s="2"/>
      <c r="J28" s="2"/>
      <c r="K28" s="2"/>
      <c r="L28" s="2"/>
      <c r="M28" s="6"/>
      <c r="N28" s="107">
        <f t="shared" si="0"/>
        <v>0</v>
      </c>
    </row>
    <row r="29" spans="1:14" ht="15">
      <c r="A29" s="54" t="s">
        <v>72</v>
      </c>
      <c r="B29" s="143">
        <f>SUM(B30:B32)</f>
        <v>27278.67</v>
      </c>
      <c r="C29" s="89"/>
      <c r="D29" s="2"/>
      <c r="E29" s="2"/>
      <c r="F29" s="2"/>
      <c r="G29" s="2"/>
      <c r="H29" s="2"/>
      <c r="I29" s="2"/>
      <c r="J29" s="2"/>
      <c r="K29" s="2"/>
      <c r="L29" s="2"/>
      <c r="M29" s="6"/>
      <c r="N29" s="98">
        <f t="shared" si="0"/>
        <v>27278.67</v>
      </c>
    </row>
    <row r="30" spans="1:14" s="32" customFormat="1" ht="15" customHeight="1">
      <c r="A30" s="72" t="s">
        <v>19</v>
      </c>
      <c r="B30" s="142">
        <v>27278.67</v>
      </c>
      <c r="C30" s="96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107">
        <f t="shared" si="0"/>
        <v>27278.67</v>
      </c>
    </row>
    <row r="31" spans="1:14" s="32" customFormat="1" ht="15" customHeight="1">
      <c r="A31" s="80" t="s">
        <v>127</v>
      </c>
      <c r="B31" s="142">
        <v>0</v>
      </c>
      <c r="C31" s="96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107">
        <f t="shared" si="0"/>
        <v>0</v>
      </c>
    </row>
    <row r="32" spans="1:14" s="32" customFormat="1" ht="15">
      <c r="A32" s="80" t="s">
        <v>44</v>
      </c>
      <c r="B32" s="142">
        <v>0</v>
      </c>
      <c r="C32" s="96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107">
        <f t="shared" si="0"/>
        <v>0</v>
      </c>
    </row>
    <row r="33" spans="1:14" ht="15">
      <c r="A33" s="61" t="s">
        <v>2</v>
      </c>
      <c r="B33" s="124">
        <f>B8-B15</f>
        <v>-27278.67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  <c r="N33" s="126">
        <f t="shared" si="0"/>
        <v>-27278.67</v>
      </c>
    </row>
    <row r="34" spans="1:14" s="32" customFormat="1" ht="15">
      <c r="A34" s="73" t="s">
        <v>78</v>
      </c>
      <c r="B34" s="161" t="e">
        <f>B33/B8</f>
        <v>#DIV/0!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157" t="e">
        <f>N33/N8</f>
        <v>#DIV/0!</v>
      </c>
    </row>
    <row r="35" spans="1:14" s="32" customFormat="1" ht="15">
      <c r="A35" s="73" t="s">
        <v>79</v>
      </c>
      <c r="B35" s="162" t="e">
        <f>B15/B7</f>
        <v>#DIV/0!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106"/>
      <c r="N35" s="159" t="e">
        <f>N15/N7</f>
        <v>#DIV/0!</v>
      </c>
    </row>
    <row r="36" spans="1:14" ht="15">
      <c r="A36" s="16" t="s">
        <v>75</v>
      </c>
      <c r="B36" s="143">
        <v>0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8">
        <f>SUM(B36:M36)</f>
        <v>0</v>
      </c>
    </row>
    <row r="37" spans="1:14" ht="15">
      <c r="A37" s="16" t="s">
        <v>76</v>
      </c>
      <c r="B37" s="143">
        <v>0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8">
        <f>SUM(B37:M37)</f>
        <v>0</v>
      </c>
    </row>
    <row r="38" spans="1:14" ht="15">
      <c r="A38" s="4" t="s">
        <v>101</v>
      </c>
      <c r="B38" s="84">
        <f>B33-B36-B37</f>
        <v>-27278.67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6">
        <f>SUM(B38:M38)</f>
        <v>-27278.67</v>
      </c>
    </row>
    <row r="39" spans="1:14" s="32" customFormat="1" ht="15">
      <c r="A39" s="74" t="s">
        <v>81</v>
      </c>
      <c r="B39" s="161" t="e">
        <f>B38/B8</f>
        <v>#DIV/0!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157" t="e">
        <f>N38/N8</f>
        <v>#DIV/0!</v>
      </c>
    </row>
    <row r="40" spans="1:14" s="32" customFormat="1" ht="15">
      <c r="A40" s="81" t="s">
        <v>82</v>
      </c>
      <c r="B40" s="163" t="e">
        <f>(B15+B36+B37)/B7</f>
        <v>#DIV/0!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8"/>
      <c r="N40" s="158" t="e">
        <f>(N15+N36+N37)/N7</f>
        <v>#DIV/0!</v>
      </c>
    </row>
    <row r="41" spans="1:14" ht="15">
      <c r="A41" s="69" t="s">
        <v>89</v>
      </c>
      <c r="B41" s="146">
        <f>SUM(B42:B44)</f>
        <v>53107.35</v>
      </c>
      <c r="C41" s="152"/>
      <c r="D41" s="84"/>
      <c r="E41" s="84"/>
      <c r="F41" s="84"/>
      <c r="G41" s="84"/>
      <c r="H41" s="84"/>
      <c r="I41" s="84"/>
      <c r="J41" s="84"/>
      <c r="K41" s="84"/>
      <c r="L41" s="84"/>
      <c r="M41" s="85"/>
      <c r="N41" s="86">
        <f>SUM(B41:M41)</f>
        <v>53107.35</v>
      </c>
    </row>
    <row r="42" spans="1:14" ht="15">
      <c r="A42" s="40" t="s">
        <v>106</v>
      </c>
      <c r="B42" s="143">
        <v>53107.35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8">
        <f>SUM(B42:M42)</f>
        <v>53107.35</v>
      </c>
    </row>
    <row r="43" spans="1:14" ht="15">
      <c r="A43" s="40" t="s">
        <v>107</v>
      </c>
      <c r="B43" s="143">
        <v>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8">
        <f>SUM(B43:M43)</f>
        <v>0</v>
      </c>
    </row>
    <row r="44" spans="1:14" ht="15">
      <c r="A44" s="40" t="s">
        <v>85</v>
      </c>
      <c r="B44" s="143">
        <v>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8">
        <f>SUM(B44:M44)</f>
        <v>0</v>
      </c>
    </row>
    <row r="45" spans="1:14" ht="15">
      <c r="A45" s="69" t="s">
        <v>102</v>
      </c>
      <c r="B45" s="146">
        <f>B38-B41</f>
        <v>-80386.01999999999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5"/>
      <c r="N45" s="86">
        <f>SUM(B45:M45)</f>
        <v>-80386.01999999999</v>
      </c>
    </row>
    <row r="46" spans="1:14" ht="15">
      <c r="A46" s="74" t="s">
        <v>87</v>
      </c>
      <c r="B46" s="165" t="e">
        <f>B45/B8</f>
        <v>#DIV/0!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6"/>
      <c r="N46" s="166" t="e">
        <f>N45/N8</f>
        <v>#DIV/0!</v>
      </c>
    </row>
    <row r="47" spans="1:14" ht="15.75" thickBot="1">
      <c r="A47" s="75" t="s">
        <v>88</v>
      </c>
      <c r="B47" s="164" t="e">
        <f>(B15+B36+B37+B41)/B7</f>
        <v>#DIV/0!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6"/>
      <c r="N47" s="160" t="e">
        <f>(N15+N36+N37+N41)/N7</f>
        <v>#DIV/0!</v>
      </c>
    </row>
  </sheetData>
  <sheetProtection/>
  <mergeCells count="3">
    <mergeCell ref="A1:N1"/>
    <mergeCell ref="A2:N2"/>
    <mergeCell ref="A3:N3"/>
  </mergeCells>
  <printOptions horizontalCentered="1"/>
  <pageMargins left="0" right="0" top="0.7874015748031497" bottom="0" header="0.31496062992125984" footer="0"/>
  <pageSetup fitToHeight="1" fitToWidth="1" horizontalDpi="600" verticalDpi="600" orientation="landscape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28">
      <selection activeCell="A2" sqref="A2:N2"/>
    </sheetView>
  </sheetViews>
  <sheetFormatPr defaultColWidth="9.140625" defaultRowHeight="15"/>
  <cols>
    <col min="1" max="1" width="52.57421875" style="0" customWidth="1"/>
    <col min="2" max="2" width="10.7109375" style="0" bestFit="1" customWidth="1"/>
    <col min="3" max="3" width="10.00390625" style="0" bestFit="1" customWidth="1"/>
    <col min="4" max="13" width="9.421875" style="0" bestFit="1" customWidth="1"/>
    <col min="14" max="14" width="11.7109375" style="0" customWidth="1"/>
  </cols>
  <sheetData>
    <row r="1" spans="1:14" ht="15">
      <c r="A1" s="183" t="s">
        <v>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">
      <c r="A3" s="183" t="s">
        <v>33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ht="15.75" thickBot="1"/>
    <row r="5" spans="1:14" ht="24" customHeight="1" thickBot="1">
      <c r="A5" s="42"/>
      <c r="B5" s="43">
        <v>41214</v>
      </c>
      <c r="C5" s="43">
        <v>41244</v>
      </c>
      <c r="D5" s="43">
        <v>41275</v>
      </c>
      <c r="E5" s="43">
        <v>41306</v>
      </c>
      <c r="F5" s="43">
        <v>41334</v>
      </c>
      <c r="G5" s="43">
        <v>41365</v>
      </c>
      <c r="H5" s="43">
        <v>41395</v>
      </c>
      <c r="I5" s="43">
        <v>41426</v>
      </c>
      <c r="J5" s="43">
        <v>41456</v>
      </c>
      <c r="K5" s="43">
        <v>41487</v>
      </c>
      <c r="L5" s="43">
        <v>41518</v>
      </c>
      <c r="M5" s="44">
        <v>41548</v>
      </c>
      <c r="N5" s="45" t="s">
        <v>16</v>
      </c>
    </row>
    <row r="6" spans="1:14" ht="15">
      <c r="A6" s="46" t="s">
        <v>67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9"/>
      <c r="N6" s="47"/>
    </row>
    <row r="7" spans="1:14" ht="15">
      <c r="A7" s="41" t="s">
        <v>94</v>
      </c>
      <c r="B7" s="90">
        <v>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92">
        <f>SUM(B7:M7)</f>
        <v>9</v>
      </c>
    </row>
    <row r="8" spans="1:14" ht="15">
      <c r="A8" s="41" t="s">
        <v>95</v>
      </c>
      <c r="B8" s="154">
        <v>0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  <c r="N8" s="95">
        <f aca="true" t="shared" si="0" ref="N8:N40">SUM(B8:M8)</f>
        <v>0</v>
      </c>
    </row>
    <row r="9" spans="1:14" ht="15">
      <c r="A9" s="63" t="s">
        <v>96</v>
      </c>
      <c r="B9" s="87">
        <f>B10+B16</f>
        <v>47768</v>
      </c>
      <c r="C9" s="87"/>
      <c r="D9" s="64"/>
      <c r="E9" s="64"/>
      <c r="F9" s="64"/>
      <c r="G9" s="64"/>
      <c r="H9" s="64"/>
      <c r="I9" s="64"/>
      <c r="J9" s="64"/>
      <c r="K9" s="64"/>
      <c r="L9" s="64"/>
      <c r="M9" s="65"/>
      <c r="N9" s="141">
        <f t="shared" si="0"/>
        <v>47768</v>
      </c>
    </row>
    <row r="10" spans="1:14" s="1" customFormat="1" ht="15">
      <c r="A10" s="62" t="s">
        <v>97</v>
      </c>
      <c r="B10" s="84">
        <f>SUM(B11:B13,B15)</f>
        <v>47768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10"/>
      <c r="N10" s="86">
        <f t="shared" si="0"/>
        <v>47768</v>
      </c>
    </row>
    <row r="11" spans="1:14" ht="15">
      <c r="A11" s="66" t="s">
        <v>139</v>
      </c>
      <c r="B11" s="89">
        <f>SUM(B12)</f>
        <v>0</v>
      </c>
      <c r="C11" s="89"/>
      <c r="D11" s="2"/>
      <c r="E11" s="2"/>
      <c r="F11" s="2"/>
      <c r="G11" s="2"/>
      <c r="H11" s="2"/>
      <c r="I11" s="2"/>
      <c r="J11" s="2"/>
      <c r="K11" s="2"/>
      <c r="L11" s="2"/>
      <c r="M11" s="6"/>
      <c r="N11" s="98">
        <f t="shared" si="0"/>
        <v>0</v>
      </c>
    </row>
    <row r="12" spans="1:14" ht="15">
      <c r="A12" s="156" t="s">
        <v>60</v>
      </c>
      <c r="B12" s="143">
        <v>0</v>
      </c>
      <c r="C12" s="89"/>
      <c r="D12" s="2"/>
      <c r="E12" s="2"/>
      <c r="F12" s="2"/>
      <c r="G12" s="2"/>
      <c r="H12" s="2"/>
      <c r="I12" s="2"/>
      <c r="J12" s="2"/>
      <c r="K12" s="2"/>
      <c r="L12" s="2"/>
      <c r="M12" s="6"/>
      <c r="N12" s="98">
        <f>SUM(B12:M12)</f>
        <v>0</v>
      </c>
    </row>
    <row r="13" spans="1:14" ht="15">
      <c r="A13" s="66" t="s">
        <v>140</v>
      </c>
      <c r="B13" s="89">
        <f>SUM(B14)</f>
        <v>0</v>
      </c>
      <c r="C13" s="89"/>
      <c r="D13" s="2"/>
      <c r="E13" s="2"/>
      <c r="F13" s="2"/>
      <c r="G13" s="2"/>
      <c r="H13" s="2"/>
      <c r="I13" s="2"/>
      <c r="J13" s="2"/>
      <c r="K13" s="2"/>
      <c r="L13" s="2"/>
      <c r="M13" s="6"/>
      <c r="N13" s="98">
        <f t="shared" si="0"/>
        <v>0</v>
      </c>
    </row>
    <row r="14" spans="1:14" s="32" customFormat="1" ht="15">
      <c r="A14" s="82" t="s">
        <v>61</v>
      </c>
      <c r="B14" s="142">
        <v>0</v>
      </c>
      <c r="C14" s="96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107">
        <f t="shared" si="0"/>
        <v>0</v>
      </c>
    </row>
    <row r="15" spans="1:14" ht="15">
      <c r="A15" s="66" t="s">
        <v>141</v>
      </c>
      <c r="B15" s="143">
        <v>47768</v>
      </c>
      <c r="C15" s="89"/>
      <c r="D15" s="2"/>
      <c r="E15" s="2"/>
      <c r="F15" s="2"/>
      <c r="G15" s="2"/>
      <c r="H15" s="2"/>
      <c r="I15" s="2"/>
      <c r="J15" s="2"/>
      <c r="K15" s="2"/>
      <c r="L15" s="2"/>
      <c r="M15" s="6"/>
      <c r="N15" s="98">
        <f t="shared" si="0"/>
        <v>47768</v>
      </c>
    </row>
    <row r="16" spans="1:14" s="1" customFormat="1" ht="15">
      <c r="A16" s="68" t="s">
        <v>98</v>
      </c>
      <c r="B16" s="84">
        <f>SUM(B17:B19,B21)</f>
        <v>0</v>
      </c>
      <c r="C16" s="84"/>
      <c r="D16" s="3"/>
      <c r="E16" s="3"/>
      <c r="F16" s="3"/>
      <c r="G16" s="3"/>
      <c r="H16" s="3"/>
      <c r="I16" s="3"/>
      <c r="J16" s="3"/>
      <c r="K16" s="3"/>
      <c r="L16" s="3"/>
      <c r="M16" s="10"/>
      <c r="N16" s="86">
        <f t="shared" si="0"/>
        <v>0</v>
      </c>
    </row>
    <row r="17" spans="1:14" ht="15">
      <c r="A17" s="66" t="s">
        <v>139</v>
      </c>
      <c r="B17" s="89">
        <f>SUM(B18)</f>
        <v>0</v>
      </c>
      <c r="C17" s="89"/>
      <c r="D17" s="2"/>
      <c r="E17" s="2"/>
      <c r="F17" s="2"/>
      <c r="G17" s="2"/>
      <c r="H17" s="2"/>
      <c r="I17" s="2"/>
      <c r="J17" s="2"/>
      <c r="K17" s="2"/>
      <c r="L17" s="2"/>
      <c r="M17" s="6"/>
      <c r="N17" s="98">
        <f t="shared" si="0"/>
        <v>0</v>
      </c>
    </row>
    <row r="18" spans="1:14" ht="15">
      <c r="A18" s="156" t="s">
        <v>60</v>
      </c>
      <c r="B18" s="143">
        <v>0</v>
      </c>
      <c r="C18" s="89"/>
      <c r="D18" s="2"/>
      <c r="E18" s="2"/>
      <c r="F18" s="2"/>
      <c r="G18" s="2"/>
      <c r="H18" s="2"/>
      <c r="I18" s="2"/>
      <c r="J18" s="2"/>
      <c r="K18" s="2"/>
      <c r="L18" s="2"/>
      <c r="M18" s="6"/>
      <c r="N18" s="98">
        <f>SUM(B18:M18)</f>
        <v>0</v>
      </c>
    </row>
    <row r="19" spans="1:14" ht="15">
      <c r="A19" s="66" t="s">
        <v>140</v>
      </c>
      <c r="B19" s="89">
        <f>SUM(B20)</f>
        <v>0</v>
      </c>
      <c r="C19" s="89"/>
      <c r="D19" s="2"/>
      <c r="E19" s="2"/>
      <c r="F19" s="2"/>
      <c r="G19" s="2"/>
      <c r="H19" s="2"/>
      <c r="I19" s="2"/>
      <c r="J19" s="2"/>
      <c r="K19" s="2"/>
      <c r="L19" s="2"/>
      <c r="M19" s="6"/>
      <c r="N19" s="98">
        <f t="shared" si="0"/>
        <v>0</v>
      </c>
    </row>
    <row r="20" spans="1:14" s="32" customFormat="1" ht="15">
      <c r="A20" s="82" t="s">
        <v>61</v>
      </c>
      <c r="B20" s="142">
        <v>0</v>
      </c>
      <c r="C20" s="96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107">
        <f t="shared" si="0"/>
        <v>0</v>
      </c>
    </row>
    <row r="21" spans="1:14" ht="15">
      <c r="A21" s="66" t="s">
        <v>141</v>
      </c>
      <c r="B21" s="143">
        <v>0</v>
      </c>
      <c r="C21" s="89"/>
      <c r="D21" s="2"/>
      <c r="E21" s="2"/>
      <c r="F21" s="2"/>
      <c r="G21" s="2"/>
      <c r="H21" s="2"/>
      <c r="I21" s="2"/>
      <c r="J21" s="2"/>
      <c r="K21" s="2"/>
      <c r="L21" s="2"/>
      <c r="M21" s="6"/>
      <c r="N21" s="98">
        <f t="shared" si="0"/>
        <v>0</v>
      </c>
    </row>
    <row r="22" spans="1:14" ht="15">
      <c r="A22" s="29" t="s">
        <v>1</v>
      </c>
      <c r="B22" s="146">
        <f>SUM(B23:B24,B27:B36)</f>
        <v>100705.07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6">
        <f t="shared" si="0"/>
        <v>100705.07</v>
      </c>
    </row>
    <row r="23" spans="1:14" ht="15">
      <c r="A23" s="54" t="s">
        <v>68</v>
      </c>
      <c r="B23" s="147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6"/>
      <c r="N23" s="98">
        <f t="shared" si="0"/>
        <v>0</v>
      </c>
    </row>
    <row r="24" spans="1:14" ht="25.5">
      <c r="A24" s="54" t="s">
        <v>120</v>
      </c>
      <c r="B24" s="144">
        <f>SUM(B25:B26)</f>
        <v>19014.34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  <c r="N24" s="103">
        <f t="shared" si="0"/>
        <v>19014.34</v>
      </c>
    </row>
    <row r="25" spans="1:14" s="32" customFormat="1" ht="25.5">
      <c r="A25" s="71" t="s">
        <v>122</v>
      </c>
      <c r="B25" s="122">
        <v>348.34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4"/>
      <c r="N25" s="105">
        <f t="shared" si="0"/>
        <v>348.34</v>
      </c>
    </row>
    <row r="26" spans="1:14" s="32" customFormat="1" ht="25.5">
      <c r="A26" s="71" t="s">
        <v>121</v>
      </c>
      <c r="B26" s="142">
        <v>18666</v>
      </c>
      <c r="C26" s="96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107">
        <f t="shared" si="0"/>
        <v>18666</v>
      </c>
    </row>
    <row r="27" spans="1:14" s="32" customFormat="1" ht="15">
      <c r="A27" s="54" t="s">
        <v>110</v>
      </c>
      <c r="B27" s="143">
        <v>10135.58</v>
      </c>
      <c r="C27" s="96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107">
        <v>0</v>
      </c>
    </row>
    <row r="28" spans="1:14" s="32" customFormat="1" ht="25.5">
      <c r="A28" s="145" t="s">
        <v>126</v>
      </c>
      <c r="B28" s="143">
        <v>5515.12</v>
      </c>
      <c r="C28" s="96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107">
        <v>0</v>
      </c>
    </row>
    <row r="29" spans="1:14" s="32" customFormat="1" ht="15">
      <c r="A29" s="54" t="s">
        <v>18</v>
      </c>
      <c r="B29" s="143">
        <v>16815.04</v>
      </c>
      <c r="C29" s="89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107">
        <v>0</v>
      </c>
    </row>
    <row r="30" spans="1:14" s="32" customFormat="1" ht="15">
      <c r="A30" s="54" t="s">
        <v>134</v>
      </c>
      <c r="B30" s="142">
        <v>0</v>
      </c>
      <c r="C30" s="89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107">
        <v>0</v>
      </c>
    </row>
    <row r="31" spans="1:14" s="32" customFormat="1" ht="15">
      <c r="A31" s="54" t="s">
        <v>111</v>
      </c>
      <c r="B31" s="142">
        <v>16491.19</v>
      </c>
      <c r="C31" s="96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107">
        <v>0</v>
      </c>
    </row>
    <row r="32" spans="1:14" s="32" customFormat="1" ht="15">
      <c r="A32" s="54" t="s">
        <v>103</v>
      </c>
      <c r="B32" s="143">
        <v>0</v>
      </c>
      <c r="C32" s="96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107">
        <v>0</v>
      </c>
    </row>
    <row r="33" spans="1:14" s="32" customFormat="1" ht="15">
      <c r="A33" s="54" t="s">
        <v>73</v>
      </c>
      <c r="B33" s="143">
        <v>0</v>
      </c>
      <c r="C33" s="96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107">
        <v>0</v>
      </c>
    </row>
    <row r="34" spans="1:14" s="32" customFormat="1" ht="15">
      <c r="A34" s="54" t="s">
        <v>136</v>
      </c>
      <c r="B34" s="143">
        <v>0</v>
      </c>
      <c r="C34" s="96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107">
        <v>0</v>
      </c>
    </row>
    <row r="35" spans="1:14" ht="15" customHeight="1">
      <c r="A35" s="54" t="s">
        <v>135</v>
      </c>
      <c r="B35" s="143">
        <v>0</v>
      </c>
      <c r="C35" s="89"/>
      <c r="D35" s="2"/>
      <c r="E35" s="2"/>
      <c r="F35" s="2"/>
      <c r="G35" s="2"/>
      <c r="H35" s="2"/>
      <c r="I35" s="2"/>
      <c r="J35" s="2"/>
      <c r="K35" s="2"/>
      <c r="L35" s="2"/>
      <c r="M35" s="6"/>
      <c r="N35" s="98">
        <f t="shared" si="0"/>
        <v>0</v>
      </c>
    </row>
    <row r="36" spans="1:14" ht="15">
      <c r="A36" s="54" t="s">
        <v>72</v>
      </c>
      <c r="B36" s="143">
        <f>SUM(B37:B39)</f>
        <v>32733.8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99"/>
      <c r="N36" s="98">
        <f t="shared" si="0"/>
        <v>32733.8</v>
      </c>
    </row>
    <row r="37" spans="1:14" s="32" customFormat="1" ht="15">
      <c r="A37" s="72" t="s">
        <v>19</v>
      </c>
      <c r="B37" s="142">
        <v>32733.8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06"/>
      <c r="N37" s="107">
        <f t="shared" si="0"/>
        <v>32733.8</v>
      </c>
    </row>
    <row r="38" spans="1:14" s="32" customFormat="1" ht="15">
      <c r="A38" s="72" t="s">
        <v>127</v>
      </c>
      <c r="B38" s="142">
        <v>0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106"/>
      <c r="N38" s="107">
        <f t="shared" si="0"/>
        <v>0</v>
      </c>
    </row>
    <row r="39" spans="1:14" s="32" customFormat="1" ht="15">
      <c r="A39" s="72" t="s">
        <v>44</v>
      </c>
      <c r="B39" s="142">
        <v>0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106"/>
      <c r="N39" s="107">
        <f t="shared" si="0"/>
        <v>0</v>
      </c>
    </row>
    <row r="40" spans="1:14" ht="15">
      <c r="A40" s="61" t="s">
        <v>2</v>
      </c>
      <c r="B40" s="150">
        <f>B9-B22</f>
        <v>-52937.07000000001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126">
        <f t="shared" si="0"/>
        <v>-52937.07000000001</v>
      </c>
    </row>
    <row r="41" spans="1:14" s="32" customFormat="1" ht="15">
      <c r="A41" s="73" t="s">
        <v>78</v>
      </c>
      <c r="B41" s="151">
        <f>B40/B9</f>
        <v>-1.1082119829174344</v>
      </c>
      <c r="C41" s="133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78">
        <f>N40/N9</f>
        <v>-1.1082119829174344</v>
      </c>
    </row>
    <row r="42" spans="1:14" s="32" customFormat="1" ht="15">
      <c r="A42" s="73" t="s">
        <v>79</v>
      </c>
      <c r="B42" s="149">
        <f>B22/B7</f>
        <v>11189.452222222222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6"/>
      <c r="N42" s="107">
        <f>N22/N7</f>
        <v>11189.452222222222</v>
      </c>
    </row>
    <row r="43" spans="1:14" ht="15">
      <c r="A43" s="16" t="s">
        <v>75</v>
      </c>
      <c r="B43" s="143">
        <v>21118.62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8">
        <f>SUM(B43:M43)</f>
        <v>21118.62</v>
      </c>
    </row>
    <row r="44" spans="1:14" ht="30">
      <c r="A44" s="16" t="s">
        <v>76</v>
      </c>
      <c r="B44" s="143">
        <v>96104.48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8">
        <f>SUM(B44:M44)</f>
        <v>96104.48</v>
      </c>
    </row>
    <row r="45" spans="1:14" ht="15">
      <c r="A45" s="4" t="s">
        <v>99</v>
      </c>
      <c r="B45" s="84">
        <f>B40-B43-B44</f>
        <v>-170160.16999999998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5"/>
      <c r="N45" s="86">
        <f>SUM(B45:M45)</f>
        <v>-170160.16999999998</v>
      </c>
    </row>
    <row r="46" spans="1:14" s="32" customFormat="1" ht="15">
      <c r="A46" s="74" t="s">
        <v>81</v>
      </c>
      <c r="B46" s="76">
        <f>B45/B9</f>
        <v>-3.562220942890638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78">
        <f>N45/N9</f>
        <v>-3.562220942890638</v>
      </c>
    </row>
    <row r="47" spans="1:14" s="32" customFormat="1" ht="15">
      <c r="A47" s="81" t="s">
        <v>82</v>
      </c>
      <c r="B47" s="127">
        <f>(B22+B43+B44)/B7</f>
        <v>24214.24111111111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8"/>
      <c r="N47" s="129">
        <f>(N22+N43+N44)/N7</f>
        <v>24214.24111111111</v>
      </c>
    </row>
    <row r="48" spans="1:14" ht="15">
      <c r="A48" s="69" t="s">
        <v>89</v>
      </c>
      <c r="B48" s="84">
        <f>SUM(B49:B51)</f>
        <v>45776.47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5"/>
      <c r="N48" s="86">
        <f>SUM(B48:M48)</f>
        <v>45776.47</v>
      </c>
    </row>
    <row r="49" spans="1:14" ht="15">
      <c r="A49" s="40" t="s">
        <v>106</v>
      </c>
      <c r="B49" s="143">
        <v>0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8">
        <f>SUM(B49:M49)</f>
        <v>0</v>
      </c>
    </row>
    <row r="50" spans="1:14" ht="15">
      <c r="A50" s="40" t="s">
        <v>107</v>
      </c>
      <c r="B50" s="143">
        <v>42090.4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8">
        <f>SUM(B50:M50)</f>
        <v>42090.4</v>
      </c>
    </row>
    <row r="51" spans="1:14" ht="15">
      <c r="A51" s="40" t="s">
        <v>85</v>
      </c>
      <c r="B51" s="143">
        <v>3686.07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8">
        <f>SUM(B51:M51)</f>
        <v>3686.07</v>
      </c>
    </row>
    <row r="52" spans="1:14" ht="15">
      <c r="A52" s="69" t="s">
        <v>100</v>
      </c>
      <c r="B52" s="146">
        <f>B45-B48</f>
        <v>-215936.63999999998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5"/>
      <c r="N52" s="86">
        <f>SUM(B52:M52)</f>
        <v>-215936.63999999998</v>
      </c>
    </row>
    <row r="53" spans="1:14" s="32" customFormat="1" ht="15">
      <c r="A53" s="74" t="s">
        <v>87</v>
      </c>
      <c r="B53" s="76">
        <f>B52/B9</f>
        <v>-4.520529224585497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78">
        <f>N52/N9</f>
        <v>-4.520529224585497</v>
      </c>
    </row>
    <row r="54" spans="1:14" s="32" customFormat="1" ht="15.75" thickBot="1">
      <c r="A54" s="75" t="s">
        <v>88</v>
      </c>
      <c r="B54" s="130">
        <f>(B22+B43+B44+B48)/B7</f>
        <v>29300.515555555558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1"/>
      <c r="N54" s="132">
        <f>(N22+N43+N44+N48)/N7</f>
        <v>29300.515555555558</v>
      </c>
    </row>
  </sheetData>
  <sheetProtection/>
  <mergeCells count="3">
    <mergeCell ref="A1:N1"/>
    <mergeCell ref="A2:N2"/>
    <mergeCell ref="A3:N3"/>
  </mergeCells>
  <printOptions horizontalCentered="1"/>
  <pageMargins left="0" right="0" top="0.7874015748031497" bottom="0" header="0.31496062992125984" footer="0"/>
  <pageSetup fitToHeight="1" fitToWidth="1" horizontalDpi="600" verticalDpi="600" orientation="landscape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80.140625" style="0" customWidth="1"/>
  </cols>
  <sheetData>
    <row r="1" spans="1:14" ht="15">
      <c r="A1" s="182" t="s">
        <v>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.7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15">
      <c r="A4" s="13"/>
      <c r="B4" s="14">
        <v>41214</v>
      </c>
      <c r="C4" s="14">
        <v>41244</v>
      </c>
      <c r="D4" s="14">
        <v>41275</v>
      </c>
      <c r="E4" s="14">
        <v>41306</v>
      </c>
      <c r="F4" s="14">
        <v>41334</v>
      </c>
      <c r="G4" s="14">
        <v>41365</v>
      </c>
      <c r="H4" s="14">
        <v>41395</v>
      </c>
      <c r="I4" s="14">
        <v>41426</v>
      </c>
      <c r="J4" s="14">
        <v>41456</v>
      </c>
      <c r="K4" s="14">
        <v>41487</v>
      </c>
      <c r="L4" s="14">
        <v>41518</v>
      </c>
      <c r="M4" s="15">
        <v>41548</v>
      </c>
      <c r="N4" s="23" t="s">
        <v>16</v>
      </c>
    </row>
    <row r="5" spans="1:14" ht="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24"/>
    </row>
    <row r="6" spans="1:14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24">
        <f>SUM(B6:M6)</f>
        <v>0</v>
      </c>
    </row>
    <row r="7" spans="1:14" ht="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24">
        <f aca="true" t="shared" si="0" ref="N7:N13">SUM(B7:M7)</f>
        <v>0</v>
      </c>
    </row>
    <row r="8" spans="1:14" ht="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24">
        <f t="shared" si="0"/>
        <v>0</v>
      </c>
    </row>
    <row r="9" spans="1:14" ht="1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24">
        <f t="shared" si="0"/>
        <v>0</v>
      </c>
    </row>
    <row r="10" spans="1:14" ht="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24">
        <f t="shared" si="0"/>
        <v>0</v>
      </c>
    </row>
    <row r="11" spans="1:14" ht="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24">
        <f t="shared" si="0"/>
        <v>0</v>
      </c>
    </row>
    <row r="12" spans="1:14" ht="1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24">
        <f t="shared" si="0"/>
        <v>0</v>
      </c>
    </row>
    <row r="13" spans="1:14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24">
        <f t="shared" si="0"/>
        <v>0</v>
      </c>
    </row>
  </sheetData>
  <sheetProtection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A17" sqref="A17:N17"/>
    </sheetView>
  </sheetViews>
  <sheetFormatPr defaultColWidth="9.140625" defaultRowHeight="15"/>
  <cols>
    <col min="1" max="1" width="32.8515625" style="0" customWidth="1"/>
  </cols>
  <sheetData>
    <row r="1" spans="1:14" ht="15">
      <c r="A1" s="182" t="s">
        <v>27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.7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24.75" customHeight="1">
      <c r="A4" s="13"/>
      <c r="B4" s="14">
        <v>41214</v>
      </c>
      <c r="C4" s="14">
        <v>41244</v>
      </c>
      <c r="D4" s="14">
        <v>41275</v>
      </c>
      <c r="E4" s="14">
        <v>41306</v>
      </c>
      <c r="F4" s="14">
        <v>41334</v>
      </c>
      <c r="G4" s="14">
        <v>41365</v>
      </c>
      <c r="H4" s="14">
        <v>41395</v>
      </c>
      <c r="I4" s="14">
        <v>41426</v>
      </c>
      <c r="J4" s="14">
        <v>41456</v>
      </c>
      <c r="K4" s="14">
        <v>41487</v>
      </c>
      <c r="L4" s="14">
        <v>41518</v>
      </c>
      <c r="M4" s="15">
        <v>41548</v>
      </c>
      <c r="N4" s="23" t="s">
        <v>16</v>
      </c>
    </row>
    <row r="5" spans="1:14" ht="30">
      <c r="A5" s="16" t="s">
        <v>113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112"/>
    </row>
    <row r="6" spans="1:14" ht="15">
      <c r="A6" s="51" t="s">
        <v>114</v>
      </c>
      <c r="B6" s="144">
        <v>1144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112">
        <f>SUM(B6:M6)</f>
        <v>1144</v>
      </c>
    </row>
    <row r="7" spans="1:14" ht="15">
      <c r="A7" s="51" t="s">
        <v>115</v>
      </c>
      <c r="B7" s="144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12">
        <f aca="true" t="shared" si="0" ref="N7:N14">SUM(B7:M7)</f>
        <v>0</v>
      </c>
    </row>
    <row r="8" spans="1:14" ht="15">
      <c r="A8" s="51" t="s">
        <v>116</v>
      </c>
      <c r="B8" s="144">
        <v>1600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112">
        <f t="shared" si="0"/>
        <v>1600</v>
      </c>
    </row>
    <row r="9" spans="1:14" ht="15">
      <c r="A9" s="51" t="s">
        <v>117</v>
      </c>
      <c r="B9" s="144">
        <v>2500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12">
        <f t="shared" si="0"/>
        <v>2500</v>
      </c>
    </row>
    <row r="10" spans="1:14" ht="15">
      <c r="A10" s="16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  <c r="N10" s="112">
        <f t="shared" si="0"/>
        <v>0</v>
      </c>
    </row>
    <row r="11" spans="1:14" ht="15">
      <c r="A11" s="16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12">
        <f t="shared" si="0"/>
        <v>0</v>
      </c>
    </row>
    <row r="12" spans="1:14" ht="15">
      <c r="A12" s="16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N12" s="112">
        <f t="shared" si="0"/>
        <v>0</v>
      </c>
    </row>
    <row r="13" spans="1:14" ht="15.75" thickBot="1">
      <c r="A13" s="26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121">
        <f t="shared" si="0"/>
        <v>0</v>
      </c>
    </row>
    <row r="14" spans="1:14" ht="15.75" thickBot="1">
      <c r="A14" s="8" t="s">
        <v>28</v>
      </c>
      <c r="B14" s="167">
        <f>SUM(B5:B13)</f>
        <v>5244</v>
      </c>
      <c r="C14" s="110">
        <f aca="true" t="shared" si="1" ref="C14:M14">SUM(C5:C13)</f>
        <v>0</v>
      </c>
      <c r="D14" s="110">
        <f t="shared" si="1"/>
        <v>0</v>
      </c>
      <c r="E14" s="110">
        <f t="shared" si="1"/>
        <v>0</v>
      </c>
      <c r="F14" s="110">
        <f t="shared" si="1"/>
        <v>0</v>
      </c>
      <c r="G14" s="110">
        <f t="shared" si="1"/>
        <v>0</v>
      </c>
      <c r="H14" s="110">
        <f t="shared" si="1"/>
        <v>0</v>
      </c>
      <c r="I14" s="110">
        <f t="shared" si="1"/>
        <v>0</v>
      </c>
      <c r="J14" s="110">
        <f t="shared" si="1"/>
        <v>0</v>
      </c>
      <c r="K14" s="110">
        <f t="shared" si="1"/>
        <v>0</v>
      </c>
      <c r="L14" s="110">
        <f t="shared" si="1"/>
        <v>0</v>
      </c>
      <c r="M14" s="110">
        <f t="shared" si="1"/>
        <v>0</v>
      </c>
      <c r="N14" s="113">
        <f t="shared" si="0"/>
        <v>5244</v>
      </c>
    </row>
    <row r="16" spans="1:14" ht="15">
      <c r="A16" s="182" t="s">
        <v>29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ht="1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</row>
    <row r="18" spans="1:14" ht="15.75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2"/>
    </row>
    <row r="19" spans="1:14" ht="15">
      <c r="A19" s="13"/>
      <c r="B19" s="14">
        <v>41214</v>
      </c>
      <c r="C19" s="14">
        <v>41244</v>
      </c>
      <c r="D19" s="14">
        <v>41275</v>
      </c>
      <c r="E19" s="14">
        <v>41306</v>
      </c>
      <c r="F19" s="14">
        <v>41334</v>
      </c>
      <c r="G19" s="14">
        <v>41365</v>
      </c>
      <c r="H19" s="14">
        <v>41395</v>
      </c>
      <c r="I19" s="14">
        <v>41426</v>
      </c>
      <c r="J19" s="14">
        <v>41456</v>
      </c>
      <c r="K19" s="14">
        <v>41487</v>
      </c>
      <c r="L19" s="14">
        <v>41518</v>
      </c>
      <c r="M19" s="15">
        <v>41548</v>
      </c>
      <c r="N19" s="23" t="s">
        <v>16</v>
      </c>
    </row>
    <row r="20" spans="1:14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24"/>
    </row>
    <row r="21" spans="1:14" ht="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24">
        <f>SUM(B21:M21)</f>
        <v>0</v>
      </c>
    </row>
    <row r="22" spans="1:14" ht="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24">
        <f aca="true" t="shared" si="2" ref="N22:N29">SUM(B22:M22)</f>
        <v>0</v>
      </c>
    </row>
    <row r="23" spans="1:14" ht="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24">
        <f t="shared" si="2"/>
        <v>0</v>
      </c>
    </row>
    <row r="24" spans="1:14" ht="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24">
        <f t="shared" si="2"/>
        <v>0</v>
      </c>
    </row>
    <row r="25" spans="1:14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24">
        <f t="shared" si="2"/>
        <v>0</v>
      </c>
    </row>
    <row r="26" spans="1:14" ht="1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24">
        <f t="shared" si="2"/>
        <v>0</v>
      </c>
    </row>
    <row r="27" spans="1:14" ht="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24">
        <f t="shared" si="2"/>
        <v>0</v>
      </c>
    </row>
    <row r="28" spans="1:14" ht="15.75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33">
        <f t="shared" si="2"/>
        <v>0</v>
      </c>
    </row>
    <row r="29" spans="1:14" ht="15.75" thickBot="1">
      <c r="A29" s="8" t="s">
        <v>30</v>
      </c>
      <c r="B29" s="25">
        <f aca="true" t="shared" si="3" ref="B29:M29">SUM(B20:B28)</f>
        <v>0</v>
      </c>
      <c r="C29" s="25">
        <f t="shared" si="3"/>
        <v>0</v>
      </c>
      <c r="D29" s="25">
        <f t="shared" si="3"/>
        <v>0</v>
      </c>
      <c r="E29" s="25">
        <f t="shared" si="3"/>
        <v>0</v>
      </c>
      <c r="F29" s="25">
        <f t="shared" si="3"/>
        <v>0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1">
        <f t="shared" si="2"/>
        <v>0</v>
      </c>
    </row>
  </sheetData>
  <sheetProtection/>
  <mergeCells count="4">
    <mergeCell ref="A1:N1"/>
    <mergeCell ref="A2:N2"/>
    <mergeCell ref="A16:N16"/>
    <mergeCell ref="A17:N17"/>
  </mergeCells>
  <printOptions/>
  <pageMargins left="0.7086614173228347" right="0.7086614173228347" top="0.7874015748031497" bottom="0" header="0.31496062992125984" footer="0"/>
  <pageSetup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Калашников А.Д.</dc:creator>
  <cp:keywords/>
  <dc:description/>
  <cp:lastModifiedBy>Server</cp:lastModifiedBy>
  <cp:lastPrinted>2013-03-22T09:06:23Z</cp:lastPrinted>
  <dcterms:created xsi:type="dcterms:W3CDTF">2013-01-19T04:13:31Z</dcterms:created>
  <dcterms:modified xsi:type="dcterms:W3CDTF">2013-03-26T12:06:48Z</dcterms:modified>
  <cp:category/>
  <cp:version/>
  <cp:contentType/>
  <cp:contentStatus/>
</cp:coreProperties>
</file>