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045" tabRatio="810" activeTab="7"/>
  </bookViews>
  <sheets>
    <sheet name="Рулонка" sheetId="1" r:id="rId1"/>
    <sheet name="Касетная рулонка UNI" sheetId="2" r:id="rId2"/>
    <sheet name="Касетная рулонка UNI с пружиной" sheetId="3" r:id="rId3"/>
    <sheet name="Касетная рулонка UNI-зебра" sheetId="4" r:id="rId4"/>
    <sheet name="Вертикальные жалюзи" sheetId="5" r:id="rId5"/>
    <sheet name="MINI" sheetId="6" r:id="rId6"/>
    <sheet name="MINI-зебра" sheetId="7" r:id="rId7"/>
    <sheet name="MGS-зебра" sheetId="8" r:id="rId8"/>
  </sheets>
  <definedNames>
    <definedName name="EXTRACT" localSheetId="4">'Вертикальные жалюзи'!#REF!</definedName>
  </definedNames>
  <calcPr fullCalcOnLoad="1"/>
</workbook>
</file>

<file path=xl/sharedStrings.xml><?xml version="1.0" encoding="utf-8"?>
<sst xmlns="http://schemas.openxmlformats.org/spreadsheetml/2006/main" count="359" uniqueCount="219">
  <si>
    <t>Кол-во</t>
  </si>
  <si>
    <t>Высота (м)</t>
  </si>
  <si>
    <t>Кол-во (шт)</t>
  </si>
  <si>
    <t>Красные графы обязательны для заполнения!!!</t>
  </si>
  <si>
    <t>Цена</t>
  </si>
  <si>
    <t>Наименование</t>
  </si>
  <si>
    <t>Ширина (м)</t>
  </si>
  <si>
    <t>Товар (деталь)</t>
  </si>
  <si>
    <t>Сумма</t>
  </si>
  <si>
    <t>Итого</t>
  </si>
  <si>
    <t>Ткань</t>
  </si>
  <si>
    <t>Замок цепи управления, пластиковый, односоставный</t>
  </si>
  <si>
    <t>Ширина  (м)</t>
  </si>
  <si>
    <t>Управление правое(шт)</t>
  </si>
  <si>
    <t>Управление левое(шт)</t>
  </si>
  <si>
    <t>Крепление на шурупы (Базовая комплектация)</t>
  </si>
  <si>
    <t>Кол-во в упаковке</t>
  </si>
  <si>
    <t>кол-во</t>
  </si>
  <si>
    <t xml:space="preserve">Шуруп 3*20мм </t>
  </si>
  <si>
    <t xml:space="preserve">Цепь управления белая </t>
  </si>
  <si>
    <t xml:space="preserve">Соединитель цепи управления белый </t>
  </si>
  <si>
    <t xml:space="preserve">Груз цепи управления белый </t>
  </si>
  <si>
    <t xml:space="preserve">Механизма управления комплект, левый, белый UNI </t>
  </si>
  <si>
    <t xml:space="preserve">Механизма управления комплект, правый, белый UNI </t>
  </si>
  <si>
    <t xml:space="preserve">Труба алюмин. 19мм </t>
  </si>
  <si>
    <t xml:space="preserve">Короб белый UNI </t>
  </si>
  <si>
    <t xml:space="preserve">Крышка нижняя боковая, белая UNI </t>
  </si>
  <si>
    <t xml:space="preserve">Направляющая 34мм, белая UNI </t>
  </si>
  <si>
    <t xml:space="preserve">Планка нижняя стальная, белая </t>
  </si>
  <si>
    <t xml:space="preserve">Лента клейкая двусторонняя, 9мм, белая </t>
  </si>
  <si>
    <t xml:space="preserve">Лента клейкая д/трубы 12мм </t>
  </si>
  <si>
    <t xml:space="preserve">Пластиковая полоса-фиксатор клейкая 7мм </t>
  </si>
  <si>
    <t xml:space="preserve">Уплотнитель нижней планки, белый UNI </t>
  </si>
  <si>
    <t>ограничитель цепи управления, белый</t>
  </si>
  <si>
    <t>Дополнительная комплектация</t>
  </si>
  <si>
    <t>Итого сумма</t>
  </si>
  <si>
    <t>Доп профиль высокий белый UNI</t>
  </si>
  <si>
    <t>Направляющая тип "С", белая UNI</t>
  </si>
  <si>
    <t>Плитка подкладочная высокая белая, пара UNI</t>
  </si>
  <si>
    <t>крышка нижняя для боковой напрявляющей, белый, пара</t>
  </si>
  <si>
    <r>
      <t>Направляющая 34мм, белая UNI (</t>
    </r>
    <r>
      <rPr>
        <sz val="8"/>
        <color indexed="10"/>
        <rFont val="Arial Cyr"/>
        <family val="2"/>
      </rPr>
      <t>вычесть из базовой. Ком-ии</t>
    </r>
    <r>
      <rPr>
        <sz val="8"/>
        <color indexed="8"/>
        <rFont val="Arial Cyr"/>
        <family val="2"/>
      </rPr>
      <t>)</t>
    </r>
  </si>
  <si>
    <t>Крепеж (болт-гайка)</t>
  </si>
  <si>
    <t>Веревка, черно-белая, 2.0 мм</t>
  </si>
  <si>
    <t>Длина управления (м)</t>
  </si>
  <si>
    <t>Груз веревки комплект</t>
  </si>
  <si>
    <t>Грузик нижний, 89 мм</t>
  </si>
  <si>
    <t>Держатель ламели, 89 мм</t>
  </si>
  <si>
    <t>Замок цепи управления, металлический</t>
  </si>
  <si>
    <t>Кольцо на стержень 11 мм</t>
  </si>
  <si>
    <t>Бегунок с дист. 89 лев.</t>
  </si>
  <si>
    <t>Кронштейн потолочный</t>
  </si>
  <si>
    <t>Механизм управления, 34</t>
  </si>
  <si>
    <t>Профиль алюминиевый белый V34</t>
  </si>
  <si>
    <t>С-клип (держатель 1-го бегунка)</t>
  </si>
  <si>
    <t>Стержень поворотный, алюминиевый, 4-х заходный</t>
  </si>
  <si>
    <t>Стопор магнитный</t>
  </si>
  <si>
    <t>Тюбик виниловый OMEGA - клип, 10 мм</t>
  </si>
  <si>
    <t>Уголок к фиксатору веревки, металлический</t>
  </si>
  <si>
    <t>Фиксатор веревки универсальный (для верт. жалюзи)</t>
  </si>
  <si>
    <t>Движение ламелей</t>
  </si>
  <si>
    <t>Цепь нижняя, 89мм, металлическая, AMILUX</t>
  </si>
  <si>
    <t>Цепь управления сплошная, металлическая, AMILUX</t>
  </si>
  <si>
    <t>Бегунок с дист. 89 прав.</t>
  </si>
  <si>
    <t>Кронштейн Armstrong</t>
  </si>
  <si>
    <t>Кронштейн стеновой, 10 см</t>
  </si>
  <si>
    <t>Удлинитель стеновых кронштейнов</t>
  </si>
  <si>
    <t>Кронштейн потолочный для "Armstrong"</t>
  </si>
  <si>
    <t>Кронштейн стеновой 7,5 см</t>
  </si>
  <si>
    <t>Стопор</t>
  </si>
  <si>
    <t>Не изменять</t>
  </si>
  <si>
    <t>-</t>
  </si>
  <si>
    <t>Цепь нижняя, 89 мм, пластиковая</t>
  </si>
  <si>
    <t>Цепь управления сплошная, пластиковая</t>
  </si>
  <si>
    <t>Веревка, белая, 2.0 мм</t>
  </si>
  <si>
    <t>Комплектация</t>
  </si>
  <si>
    <t>Материал ламелей</t>
  </si>
  <si>
    <t>Цепь нижняя для вертикального пластика, пластик</t>
  </si>
  <si>
    <t>Цепь нижняя для вертикального пластика, металлическая</t>
  </si>
  <si>
    <t>Количество изделий (шт)</t>
  </si>
  <si>
    <t>Грувер</t>
  </si>
  <si>
    <r>
      <t>0</t>
    </r>
    <r>
      <rPr>
        <sz val="8"/>
        <rFont val="Arial"/>
        <family val="2"/>
      </rPr>
      <t xml:space="preserve"> - нет,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- да</t>
    </r>
  </si>
  <si>
    <t>Боковая фиксация (леска)</t>
  </si>
  <si>
    <t>Тип установки</t>
  </si>
  <si>
    <t>0 - нет, 1 - да</t>
  </si>
  <si>
    <t>1 - саморезы; 2 - скотч; 
3 - кронштейны ПВХ</t>
  </si>
  <si>
    <t>Крепление на скотч</t>
  </si>
  <si>
    <t>Тип размера по ширине</t>
  </si>
  <si>
    <t>Магниты</t>
  </si>
  <si>
    <t>Ограничитель цепи управления, шт.</t>
  </si>
  <si>
    <t>Держатель цепи управления, шт.</t>
  </si>
  <si>
    <t>Леска 0,7 мм, м</t>
  </si>
  <si>
    <t>Направляющая лески, шт.</t>
  </si>
  <si>
    <t>Цепочный механизм управления, комплект MINI, шт.</t>
  </si>
  <si>
    <t>Кронштейн для окон ПВХ верхний, белый MINI, шт.</t>
  </si>
  <si>
    <t>Кронштейн нижний, шт.</t>
  </si>
  <si>
    <t>Платформа для скотча MINI, шт.</t>
  </si>
  <si>
    <t>Скотч для UNI/MINI, шт.</t>
  </si>
  <si>
    <t>Магнит под шуруп 10x3 мм, шт.</t>
  </si>
  <si>
    <t>Шуруп 3x10  под магнит, шт.</t>
  </si>
  <si>
    <t>Полоса магнитная, м</t>
  </si>
  <si>
    <t>Пластиковая полоса-фиксатор клейкая 7мм, м</t>
  </si>
  <si>
    <t>Лента клейкая д/трубы 12мм, м</t>
  </si>
  <si>
    <t>Планка нижняя, м</t>
  </si>
  <si>
    <t>Крышка нижняя боковая, шт.</t>
  </si>
  <si>
    <t>Труба алюминиевая 19мм, м</t>
  </si>
  <si>
    <t>Груз цепи управления, шт.</t>
  </si>
  <si>
    <t>Соединитель цепи управления, шт.</t>
  </si>
  <si>
    <t>Цепь управления, м</t>
  </si>
  <si>
    <t>Количество изделий, шт.</t>
  </si>
  <si>
    <t>Трос металлический, м</t>
  </si>
  <si>
    <t>Артикул</t>
  </si>
  <si>
    <t>Расчет используемой ткани зависит от ширины и направленности рисунка. 
Поэтому расчетное значение просьба водить самостоятельно!</t>
  </si>
  <si>
    <t>Монтажный профиль</t>
  </si>
  <si>
    <t>Лицевой профиль</t>
  </si>
  <si>
    <t>Пружина</t>
  </si>
  <si>
    <t>Трос</t>
  </si>
  <si>
    <t>При выборе лицевого профиля, монтажный рассчитывается автоматически</t>
  </si>
  <si>
    <t>Зависит от типа 
установки</t>
  </si>
  <si>
    <t>Кронштейн для монтажного профиля, шт.</t>
  </si>
  <si>
    <t>Кронштейн потолочный (руло), шт.</t>
  </si>
  <si>
    <t>Автостоп (25 или 34 мм), шт.</t>
  </si>
  <si>
    <t>Боковая крышка для закрывающего короба комплект, шт.</t>
  </si>
  <si>
    <t>Вал управления (правый или левый), шт.</t>
  </si>
  <si>
    <t>Заглушка верхний трубки (25 или 34 мм), шт.</t>
  </si>
  <si>
    <t>Заглушка нижней трубки (Рулон.компл), шт.</t>
  </si>
  <si>
    <t>Зажим на нижнюю трубку (Рулон.компл), шт.</t>
  </si>
  <si>
    <t>Замок цепи управления, пластиковый, односоставный, шт.</t>
  </si>
  <si>
    <t>Кольцо запорное, шт.</t>
  </si>
  <si>
    <t>Кронштейн верхний (только для троса), шт.</t>
  </si>
  <si>
    <t>Кронштейн нижний  фронтальный, шт.</t>
  </si>
  <si>
    <t>Кронштейн универсальный (31,2; 43,5 или 61,5), шт.</t>
  </si>
  <si>
    <t>Крышка кронштейна (31,2; 43,5 или 61,5), шт.</t>
  </si>
  <si>
    <t>Ограничитель цепи управления (кассетн. сист), шт.</t>
  </si>
  <si>
    <t>Ручка нижняя   (Рулон.компл), шт.</t>
  </si>
  <si>
    <t>Лицевой профиль, м</t>
  </si>
  <si>
    <t>Монтажный профиль, м</t>
  </si>
  <si>
    <t>Петля металлическая, шт.</t>
  </si>
  <si>
    <t>Пружина (25 мини, короткая, длинная или 34), шт.</t>
  </si>
  <si>
    <t>Трубка верхняя (25 или 34 мм), м</t>
  </si>
  <si>
    <t>Трубка нижняя   (Рулон.компл), м</t>
  </si>
  <si>
    <t>Цепь управления сплошная, м</t>
  </si>
  <si>
    <t>Расчет стоимости MINI</t>
  </si>
  <si>
    <t>Расчет стоимости V34</t>
  </si>
  <si>
    <t>0 - стандартная</t>
  </si>
  <si>
    <t>Грувер с боковинами, м</t>
  </si>
  <si>
    <t>Кронштейн для грувера, шт.</t>
  </si>
  <si>
    <t>Уголок торцевой для грувера, шт.</t>
  </si>
  <si>
    <t>Держатель ламели, 89 мм, прозрачный, двусоставный, шт.</t>
  </si>
  <si>
    <t>Клипса для наклонных окон, шт.</t>
  </si>
  <si>
    <r>
      <t>1</t>
    </r>
    <r>
      <rPr>
        <sz val="8"/>
        <rFont val="Arial"/>
        <family val="2"/>
      </rPr>
      <t xml:space="preserve"> - ткань;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ПЛ или  АЛ</t>
    </r>
  </si>
  <si>
    <r>
      <t>1</t>
    </r>
    <r>
      <rPr>
        <sz val="8"/>
        <rFont val="Arial"/>
        <family val="2"/>
      </rPr>
      <t xml:space="preserve"> - пластиковая;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металл</t>
    </r>
  </si>
  <si>
    <r>
      <t>1</t>
    </r>
    <r>
      <rPr>
        <sz val="8"/>
        <rFont val="Arial"/>
        <family val="2"/>
      </rPr>
      <t xml:space="preserve"> - к управлению; 
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- от управления;
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- к центру;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- от центра</t>
    </r>
  </si>
  <si>
    <t>Количество ламелей (расчетное), шт.</t>
  </si>
  <si>
    <t>Количество кронштейнов (расчетное), шт.</t>
  </si>
  <si>
    <t>Расчет стоимости 25/34 мм</t>
  </si>
  <si>
    <t>Дополнительная комплектация UNI 1 на скотч, шт.</t>
  </si>
  <si>
    <t>Дополнительная комплектация для UNI 2, шт.</t>
  </si>
  <si>
    <t xml:space="preserve"> </t>
  </si>
  <si>
    <t>Направляющая для пружинного механизма UNI, белая</t>
  </si>
  <si>
    <t>Нижняя планка для пружинного механизма UN, белая</t>
  </si>
  <si>
    <t>Пружинный механизм UNI, комплект- белый</t>
  </si>
  <si>
    <t>Труба стальная 25мм под пружину</t>
  </si>
  <si>
    <t>Лента клейкая двусторонняя, 19мм, белая</t>
  </si>
  <si>
    <t>Шуруп 3*12мм</t>
  </si>
  <si>
    <t>1 - да, 0 - нет</t>
  </si>
  <si>
    <t>Расчет стоимости UNI 2 с пружиной</t>
  </si>
  <si>
    <t>Вставка</t>
  </si>
  <si>
    <t>Держатель цепи управления (ГКС)</t>
  </si>
  <si>
    <t>Установка на скотч</t>
  </si>
  <si>
    <t xml:space="preserve">Механизм управления комплект, левый, белый UNI </t>
  </si>
  <si>
    <t xml:space="preserve">Механизм управления комплект, правый, белый UNI </t>
  </si>
  <si>
    <t>Отвес нижний для зебры UNI 10мм</t>
  </si>
  <si>
    <t>Кол-во с управлением правым(шт)</t>
  </si>
  <si>
    <t>Кол-во с управлением левым(шт)</t>
  </si>
  <si>
    <t xml:space="preserve">Шуруп 3*12мм </t>
  </si>
  <si>
    <t>Профиль дополнительный для UNI зебра</t>
  </si>
  <si>
    <t>Плитка подкладочная белая, пара UNI</t>
  </si>
  <si>
    <t>Ограничитель цепи управления, белый</t>
  </si>
  <si>
    <t>Направляющая плоская, белая UNI</t>
  </si>
  <si>
    <t>Расчет стоимости MINI-зебра</t>
  </si>
  <si>
    <t>Трубка нижняя 12мм, зебра</t>
  </si>
  <si>
    <t>Механизм зебра, комплект</t>
  </si>
  <si>
    <t>Скотч 30х15 для зебры</t>
  </si>
  <si>
    <t>Кронштейн накидной, регулируемый</t>
  </si>
  <si>
    <t>Заглушка для трубки нижней 12мм прозрачная, зебра</t>
  </si>
  <si>
    <t>Профиль дополнительный зебра</t>
  </si>
  <si>
    <t>Расчет стоимости MGS-зебра</t>
  </si>
  <si>
    <t>Механизм MGS 25, зебра, комплект</t>
  </si>
  <si>
    <t>Цепь управления сплошная, пластиковая, СК стандарт</t>
  </si>
  <si>
    <t>Профиль монтажный MGS, 4м, зебра</t>
  </si>
  <si>
    <t>Профиль дополнительный MGS, 4м, зебра</t>
  </si>
  <si>
    <t>Кронштейн потолочный MGS, зебра</t>
  </si>
  <si>
    <t>Труба верхняя стальная 25мм с клейкой лентой</t>
  </si>
  <si>
    <t xml:space="preserve">ЭТИ ПОЗИЦИИ НЕ ДЕЛЯТСЯ НА ЛЕВО И ПРАВО ЕСТЬ ОДНА - БЕГУНОК С ДИСТ 89ММ И ВСЕГДА ДОЛЖНО БЫТЬ ЦЕЛОЕ ЧИСЛО В ДАННОМ СЛУЧАЕ ПО 7 ШТ ИЛИ 14 ВСЕГО. </t>
  </si>
  <si>
    <t xml:space="preserve">ЭТА ЦЕПОЧКА ИДЕТ ДОПОМ ОНА ДОРОЖЕ,  ОБЫЧНО РАСЧИТЫВАЮТ ПЛАСТИКОВУЮ (СМ НИЖЕ) КОЭФ-Т ТАКОЙ ЖЕ </t>
  </si>
  <si>
    <t xml:space="preserve">Стандартная комплектация ТКАНЬ </t>
  </si>
  <si>
    <t xml:space="preserve">Стандартная комплектация пластик (при выборе металл меняются цепь управления и цепь нижняя)  </t>
  </si>
  <si>
    <t xml:space="preserve">Стопор идет в комплектации от центра или к центру </t>
  </si>
  <si>
    <t xml:space="preserve">Стопор идет в комлектации от управления или к упралению </t>
  </si>
  <si>
    <t xml:space="preserve">Эта позиция вообще не нужна. Идет только Веревка белая 2 мм - след позиция расчет тот же. </t>
  </si>
  <si>
    <t xml:space="preserve">ВАЖНО !!! ПРИ МЕХАНИЗМЕ СТАНДАРТ С 25 ПО ДИАМЕТРУ ТРУБОЙ МЕНЯЕМ ТОЛЬКО                           1.  Механизм упр.MG|| (универсальн. кронштейн) пластик ВМЕСТО ЦЕПОЧНЫЙ МЕХАНИЗМ УПР КОМПЛЕКТ МИНИ      2. Цепь управления сплошная, пластиковая, СК ВМЕСТО ЦЕПЬ УПРАВЛЕНИЯ    3. Труба Алюминивоя 25 мм ВМЕСТО ТРУБА АЛЮМ 19. </t>
  </si>
  <si>
    <t xml:space="preserve">ЭТОТ МЕХАНИЗМ ТОЛЬКО БЕЛЫЙ (пока) </t>
  </si>
  <si>
    <t xml:space="preserve">ДОП  (НА БУДУЩЕЕ) </t>
  </si>
  <si>
    <t>КОРБОБ ДЛЯ МЕХАНИЗМА MGS  = ШИРИНА * ЦЕНА М.П.</t>
  </si>
  <si>
    <t xml:space="preserve">КРОНШТЕЙН ДЛЯ КОРОБА ШТ </t>
  </si>
  <si>
    <t>Расчет стоимости UNI 1</t>
  </si>
  <si>
    <t xml:space="preserve">ЕСЛИ МЕХАНИЗМ UNI 2 ТО ЭТА НАПРАВЛЯЮЩАЯ РОВНА 0  ПОЗИЦИЯ 44 ОЮ ЭТОМ ГОВОРИТ, И МЕНЯЕТСЯ НА ПОЗИЦИЮ 40 - Направляющая тип с </t>
  </si>
  <si>
    <t xml:space="preserve">Крепление при штапике менее 14мм UNI 2 </t>
  </si>
  <si>
    <t>ПРИ ИЗМЕНЕНИИ ЦВЕТА КОМПЛЕКТАЦИИ НА КОРИЧНЕВЫЙ ,  МЕНЯЮТСЯ ПОЗИЦИИ ПО ЦВЕТУ и общая стоимость механизма увеличивается на 20 %  Другие цвета как Дуб, махагон, итд увеличивают механизм на 40%  отмечено красным ,что меняет цвет</t>
  </si>
  <si>
    <t>ПРИ ИЗМЕНЕНИИ ЦВЕТА КОМПЛЕКТАЦИИ НА КОРИЧНЕВЫЙ (только коричневый для мини ),  МЕНЯЮТСЯ ПОЗИЦИИ ПО ЦВЕТУ и общая стоимость механизма увеличивается на 20 % только для мини.  отмечено красным ,что меняет цвет</t>
  </si>
  <si>
    <t>ПРИ ИЗМЕНЕНИИ ЦВЕТА КОМПЛЕКТАЦИИ НА КОРИЧНЕВЫЙ (только коричневый для мини ),  МЕНЯЮТСЯ ПОЗИЦИИ ПО ЦВЕТУ и общая стоимость механизма увеличивается на 20 % только для мини.   отмечено красным ,что меняет цвет</t>
  </si>
  <si>
    <t>Расчет стоимости UNI 1-зебра</t>
  </si>
  <si>
    <t xml:space="preserve">ПОМЕНЯЛИ </t>
  </si>
  <si>
    <t>Плитка подкладочная высокая белая, пара UNI new</t>
  </si>
  <si>
    <t>Доп профиль высокий универсальный белый UNI</t>
  </si>
  <si>
    <t>Крышка нижняя для направ тип "С", белая, пара</t>
  </si>
  <si>
    <t xml:space="preserve">добавили </t>
  </si>
  <si>
    <t>Расчет стоимости UNI 2-зебра</t>
  </si>
  <si>
    <t>1 - по ткани; 2 - по готовому изделию )ГИ)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</si>
</sst>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;[Red]\-0.00000"/>
    <numFmt numFmtId="173" formatCode="0.000;[Red]\-0.000"/>
    <numFmt numFmtId="174" formatCode="0.0000;[Red]\-0.0000"/>
    <numFmt numFmtId="175" formatCode="0.00000"/>
    <numFmt numFmtId="176" formatCode="[$-FC19]d\ mmmm\ yyyy\ &quot;г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2">
    <font>
      <sz val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 Cyr"/>
      <family val="2"/>
    </font>
    <font>
      <sz val="8"/>
      <color indexed="8"/>
      <name val="Arial Cyr"/>
      <family val="2"/>
    </font>
    <font>
      <sz val="12"/>
      <name val="Arial"/>
      <family val="2"/>
    </font>
    <font>
      <u val="single"/>
      <sz val="10.4"/>
      <color indexed="12"/>
      <name val="Arial"/>
      <family val="2"/>
    </font>
    <font>
      <u val="single"/>
      <sz val="10.4"/>
      <color indexed="36"/>
      <name val="Arial"/>
      <family val="2"/>
    </font>
    <font>
      <sz val="11"/>
      <name val="Arial Cyr"/>
      <family val="0"/>
    </font>
    <font>
      <sz val="14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74" fontId="0" fillId="0" borderId="12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5" fillId="0" borderId="0" xfId="0" applyFont="1" applyAlignment="1">
      <alignment/>
    </xf>
    <xf numFmtId="173" fontId="0" fillId="0" borderId="12" xfId="0" applyNumberForma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173" fontId="7" fillId="0" borderId="1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173" fontId="7" fillId="0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2" xfId="0" applyNumberFormat="1" applyFill="1" applyBorder="1" applyAlignment="1">
      <alignment horizontal="left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5" fillId="36" borderId="2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8" fillId="36" borderId="14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/>
    </xf>
    <xf numFmtId="0" fontId="8" fillId="36" borderId="12" xfId="0" applyNumberFormat="1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8" fillId="36" borderId="14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left"/>
    </xf>
    <xf numFmtId="0" fontId="8" fillId="36" borderId="13" xfId="0" applyNumberFormat="1" applyFont="1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9" fillId="36" borderId="0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9" fillId="36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8" fillId="36" borderId="22" xfId="0" applyFont="1" applyFill="1" applyBorder="1" applyAlignment="1">
      <alignment horizontal="left"/>
    </xf>
    <xf numFmtId="0" fontId="8" fillId="36" borderId="22" xfId="0" applyNumberFormat="1" applyFont="1" applyFill="1" applyBorder="1" applyAlignment="1">
      <alignment horizontal="left"/>
    </xf>
    <xf numFmtId="0" fontId="4" fillId="36" borderId="13" xfId="0" applyFont="1" applyFill="1" applyBorder="1" applyAlignment="1">
      <alignment/>
    </xf>
    <xf numFmtId="0" fontId="9" fillId="36" borderId="24" xfId="0" applyFont="1" applyFill="1" applyBorder="1" applyAlignment="1">
      <alignment/>
    </xf>
    <xf numFmtId="0" fontId="3" fillId="36" borderId="2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7" xfId="0" applyNumberFormat="1" applyFill="1" applyBorder="1" applyAlignment="1">
      <alignment horizontal="center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6" borderId="31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34" borderId="29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5" fillId="37" borderId="3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32" xfId="0" applyFill="1" applyBorder="1" applyAlignment="1">
      <alignment horizontal="left" vertical="center"/>
    </xf>
    <xf numFmtId="0" fontId="0" fillId="36" borderId="33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34" borderId="15" xfId="0" applyFill="1" applyBorder="1" applyAlignment="1">
      <alignment horizontal="center"/>
    </xf>
    <xf numFmtId="0" fontId="5" fillId="37" borderId="16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2" fontId="0" fillId="0" borderId="38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0" fontId="15" fillId="36" borderId="14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2" xfId="0" applyNumberFormat="1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left"/>
    </xf>
    <xf numFmtId="0" fontId="15" fillId="36" borderId="12" xfId="0" applyNumberFormat="1" applyFont="1" applyFill="1" applyBorder="1" applyAlignment="1">
      <alignment horizontal="left"/>
    </xf>
    <xf numFmtId="0" fontId="2" fillId="36" borderId="12" xfId="0" applyFont="1" applyFill="1" applyBorder="1" applyAlignment="1">
      <alignment/>
    </xf>
    <xf numFmtId="0" fontId="15" fillId="36" borderId="12" xfId="0" applyNumberFormat="1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5" fillId="36" borderId="15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2" xfId="0" applyFont="1" applyFill="1" applyBorder="1" applyAlignment="1">
      <alignment horizontal="center"/>
    </xf>
    <xf numFmtId="0" fontId="6" fillId="36" borderId="19" xfId="0" applyFont="1" applyFill="1" applyBorder="1" applyAlignment="1">
      <alignment/>
    </xf>
    <xf numFmtId="0" fontId="15" fillId="36" borderId="12" xfId="0" applyNumberFormat="1" applyFont="1" applyFill="1" applyBorder="1" applyAlignment="1">
      <alignment horizontal="center"/>
    </xf>
    <xf numFmtId="0" fontId="15" fillId="36" borderId="12" xfId="0" applyNumberFormat="1" applyFont="1" applyFill="1" applyBorder="1" applyAlignment="1">
      <alignment horizontal="center"/>
    </xf>
    <xf numFmtId="0" fontId="15" fillId="36" borderId="1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36" borderId="2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5" fillId="36" borderId="13" xfId="0" applyNumberFormat="1" applyFont="1" applyFill="1" applyBorder="1" applyAlignment="1">
      <alignment horizontal="left"/>
    </xf>
    <xf numFmtId="0" fontId="2" fillId="36" borderId="13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55" fillId="0" borderId="0" xfId="0" applyFont="1" applyAlignment="1">
      <alignment/>
    </xf>
    <xf numFmtId="0" fontId="56" fillId="36" borderId="14" xfId="0" applyFont="1" applyFill="1" applyBorder="1" applyAlignment="1">
      <alignment horizontal="left"/>
    </xf>
    <xf numFmtId="0" fontId="56" fillId="36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7" fillId="36" borderId="14" xfId="0" applyFont="1" applyFill="1" applyBorder="1" applyAlignment="1">
      <alignment horizontal="left"/>
    </xf>
    <xf numFmtId="0" fontId="57" fillId="36" borderId="14" xfId="0" applyFont="1" applyFill="1" applyBorder="1" applyAlignment="1">
      <alignment horizontal="left"/>
    </xf>
    <xf numFmtId="0" fontId="57" fillId="36" borderId="15" xfId="0" applyFont="1" applyFill="1" applyBorder="1" applyAlignment="1">
      <alignment horizontal="left"/>
    </xf>
    <xf numFmtId="0" fontId="56" fillId="36" borderId="16" xfId="0" applyFont="1" applyFill="1" applyBorder="1" applyAlignment="1">
      <alignment horizontal="left"/>
    </xf>
    <xf numFmtId="0" fontId="58" fillId="36" borderId="14" xfId="0" applyFont="1" applyFill="1" applyBorder="1" applyAlignment="1">
      <alignment/>
    </xf>
    <xf numFmtId="0" fontId="58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vertical="justify" wrapText="1"/>
    </xf>
    <xf numFmtId="0" fontId="0" fillId="0" borderId="42" xfId="0" applyBorder="1" applyAlignment="1">
      <alignment vertical="justify"/>
    </xf>
    <xf numFmtId="0" fontId="0" fillId="0" borderId="43" xfId="0" applyBorder="1" applyAlignment="1">
      <alignment vertical="justify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3" fontId="7" fillId="0" borderId="46" xfId="0" applyNumberFormat="1" applyFont="1" applyFill="1" applyBorder="1" applyAlignment="1">
      <alignment horizontal="right" vertical="center"/>
    </xf>
    <xf numFmtId="173" fontId="7" fillId="0" borderId="2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0" xfId="0" applyFont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" fillId="36" borderId="35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6" borderId="47" xfId="0" applyFill="1" applyBorder="1" applyAlignment="1">
      <alignment/>
    </xf>
    <xf numFmtId="0" fontId="0" fillId="0" borderId="21" xfId="0" applyBorder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49" xfId="0" applyFont="1" applyBorder="1" applyAlignment="1">
      <alignment wrapText="1"/>
    </xf>
    <xf numFmtId="0" fontId="3" fillId="0" borderId="29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2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5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1" fillId="0" borderId="0" xfId="0" applyFont="1" applyAlignment="1">
      <alignment horizont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48"/>
  <sheetViews>
    <sheetView zoomScale="115" zoomScaleNormal="115" zoomScaleSheetLayoutView="100" zoomScalePageLayoutView="0" workbookViewId="0" topLeftCell="A1">
      <selection activeCell="A12" sqref="A12:D12"/>
    </sheetView>
  </sheetViews>
  <sheetFormatPr defaultColWidth="9.33203125" defaultRowHeight="11.25"/>
  <cols>
    <col min="1" max="1" width="51.83203125" style="0" customWidth="1"/>
    <col min="2" max="2" width="12" style="0" customWidth="1"/>
    <col min="3" max="3" width="9.66015625" style="0" bestFit="1" customWidth="1"/>
    <col min="4" max="4" width="12.16015625" style="0" customWidth="1"/>
  </cols>
  <sheetData>
    <row r="1" spans="1:4" ht="31.5" customHeight="1" thickBot="1">
      <c r="A1" s="180" t="s">
        <v>154</v>
      </c>
      <c r="B1" s="181"/>
      <c r="C1" s="181"/>
      <c r="D1" s="181"/>
    </row>
    <row r="2" spans="1:4" ht="14.25">
      <c r="A2" s="189" t="s">
        <v>3</v>
      </c>
      <c r="B2" s="190"/>
      <c r="C2" s="190"/>
      <c r="D2" s="191"/>
    </row>
    <row r="3" spans="1:4" ht="11.25">
      <c r="A3" s="17" t="s">
        <v>12</v>
      </c>
      <c r="B3" s="88">
        <v>1</v>
      </c>
      <c r="C3" s="192" t="s">
        <v>70</v>
      </c>
      <c r="D3" s="193"/>
    </row>
    <row r="4" spans="1:4" ht="11.25">
      <c r="A4" s="17" t="s">
        <v>1</v>
      </c>
      <c r="B4" s="88">
        <v>1</v>
      </c>
      <c r="C4" s="192" t="s">
        <v>70</v>
      </c>
      <c r="D4" s="193"/>
    </row>
    <row r="5" spans="1:4" ht="11.25">
      <c r="A5" s="17" t="s">
        <v>114</v>
      </c>
      <c r="B5" s="88">
        <v>1</v>
      </c>
      <c r="C5" s="194" t="s">
        <v>80</v>
      </c>
      <c r="D5" s="195"/>
    </row>
    <row r="6" spans="1:4" ht="11.25">
      <c r="A6" s="17" t="s">
        <v>112</v>
      </c>
      <c r="B6" s="88">
        <v>0</v>
      </c>
      <c r="C6" s="194" t="s">
        <v>80</v>
      </c>
      <c r="D6" s="195"/>
    </row>
    <row r="7" spans="1:4" ht="11.25">
      <c r="A7" s="17" t="s">
        <v>113</v>
      </c>
      <c r="B7" s="88">
        <v>0</v>
      </c>
      <c r="C7" s="194" t="s">
        <v>80</v>
      </c>
      <c r="D7" s="195"/>
    </row>
    <row r="8" spans="1:4" ht="11.25">
      <c r="A8" s="17" t="s">
        <v>115</v>
      </c>
      <c r="B8" s="88">
        <v>1</v>
      </c>
      <c r="C8" s="194" t="s">
        <v>80</v>
      </c>
      <c r="D8" s="195"/>
    </row>
    <row r="9" spans="1:4" ht="12" thickBot="1">
      <c r="A9" s="107" t="s">
        <v>2</v>
      </c>
      <c r="B9" s="89">
        <v>1</v>
      </c>
      <c r="C9" s="198" t="s">
        <v>70</v>
      </c>
      <c r="D9" s="199"/>
    </row>
    <row r="10" spans="1:4" ht="12" thickBot="1">
      <c r="A10" s="201"/>
      <c r="B10" s="201"/>
      <c r="C10" s="201"/>
      <c r="D10" s="201"/>
    </row>
    <row r="11" spans="1:4" ht="21.75" customHeight="1" thickBot="1">
      <c r="A11" s="182" t="s">
        <v>111</v>
      </c>
      <c r="B11" s="183"/>
      <c r="C11" s="183"/>
      <c r="D11" s="184"/>
    </row>
    <row r="12" spans="1:4" ht="12" thickBot="1">
      <c r="A12" s="182" t="s">
        <v>116</v>
      </c>
      <c r="B12" s="183"/>
      <c r="C12" s="183"/>
      <c r="D12" s="184"/>
    </row>
    <row r="13" spans="1:4" ht="12" thickBot="1">
      <c r="A13" s="200"/>
      <c r="B13" s="200"/>
      <c r="C13" s="200"/>
      <c r="D13" s="200"/>
    </row>
    <row r="14" spans="1:4" s="9" customFormat="1" ht="18" customHeight="1">
      <c r="A14" s="108" t="s">
        <v>5</v>
      </c>
      <c r="B14" s="109" t="s">
        <v>0</v>
      </c>
      <c r="C14" s="92" t="s">
        <v>4</v>
      </c>
      <c r="D14" s="93" t="s">
        <v>8</v>
      </c>
    </row>
    <row r="15" spans="1:4" ht="11.25">
      <c r="A15" s="15" t="s">
        <v>10</v>
      </c>
      <c r="B15" s="10"/>
      <c r="C15" s="10"/>
      <c r="D15" s="4">
        <f>C15*B15</f>
        <v>0</v>
      </c>
    </row>
    <row r="16" spans="1:4" ht="11.25">
      <c r="A16" s="15" t="s">
        <v>120</v>
      </c>
      <c r="B16" s="10">
        <f>(IF(B5=1,1,0))*B9</f>
        <v>1</v>
      </c>
      <c r="C16" s="10"/>
      <c r="D16" s="4">
        <f>C16*B16</f>
        <v>0</v>
      </c>
    </row>
    <row r="17" spans="1:4" ht="11.25">
      <c r="A17" s="15" t="s">
        <v>121</v>
      </c>
      <c r="B17" s="10">
        <f>(IF(B7=1,1,0))*B9</f>
        <v>0</v>
      </c>
      <c r="C17" s="10"/>
      <c r="D17" s="4">
        <f>C17*B17</f>
        <v>0</v>
      </c>
    </row>
    <row r="18" spans="1:4" ht="11.25">
      <c r="A18" s="11" t="s">
        <v>122</v>
      </c>
      <c r="B18" s="12">
        <f>B9</f>
        <v>1</v>
      </c>
      <c r="C18" s="6"/>
      <c r="D18" s="4">
        <f>C18*B18</f>
        <v>0</v>
      </c>
    </row>
    <row r="19" spans="1:17" ht="11.25">
      <c r="A19" s="11" t="s">
        <v>123</v>
      </c>
      <c r="B19" s="12">
        <f>B9</f>
        <v>1</v>
      </c>
      <c r="C19" s="6"/>
      <c r="D19" s="4">
        <f aca="true" t="shared" si="0" ref="D19:D39">C19*B19</f>
        <v>0</v>
      </c>
      <c r="H19" s="202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1.25">
      <c r="A20" s="15" t="s">
        <v>124</v>
      </c>
      <c r="B20" s="10">
        <f>2*B9</f>
        <v>2</v>
      </c>
      <c r="C20" s="6"/>
      <c r="D20" s="4">
        <f t="shared" si="0"/>
        <v>0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1.25">
      <c r="A21" s="15" t="s">
        <v>125</v>
      </c>
      <c r="B21" s="10">
        <f>(IF(B5=1,1,0))*B9</f>
        <v>1</v>
      </c>
      <c r="C21" s="6"/>
      <c r="D21" s="4">
        <f t="shared" si="0"/>
        <v>0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1.25">
      <c r="A22" s="11" t="s">
        <v>126</v>
      </c>
      <c r="B22" s="12">
        <f>B9</f>
        <v>1</v>
      </c>
      <c r="C22" s="6"/>
      <c r="D22" s="4">
        <f t="shared" si="0"/>
        <v>0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t="11.25">
      <c r="A23" s="11" t="s">
        <v>127</v>
      </c>
      <c r="B23" s="12">
        <f>(IF(B8=1,4,0))*B9</f>
        <v>4</v>
      </c>
      <c r="C23" s="6"/>
      <c r="D23" s="4">
        <f t="shared" si="0"/>
        <v>0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t="11.25">
      <c r="A24" s="11" t="s">
        <v>128</v>
      </c>
      <c r="B24" s="12">
        <f>(IF(B8=1,1,0))*B9</f>
        <v>1</v>
      </c>
      <c r="C24" s="6"/>
      <c r="D24" s="4">
        <f t="shared" si="0"/>
        <v>0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t="12" thickBot="1">
      <c r="A25" s="11" t="s">
        <v>129</v>
      </c>
      <c r="B25" s="12">
        <f>(IF(B8=1,2,0))*B9</f>
        <v>2</v>
      </c>
      <c r="C25" s="6"/>
      <c r="D25" s="4">
        <f t="shared" si="0"/>
        <v>0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ht="11.25">
      <c r="A26" s="11" t="s">
        <v>119</v>
      </c>
      <c r="B26" s="196">
        <f>(IF(B3&lt;=1.5,2,IF(B3&lt;=2.5,3,4)))*B9</f>
        <v>2</v>
      </c>
      <c r="C26" s="6"/>
      <c r="D26" s="4">
        <f t="shared" si="0"/>
        <v>0</v>
      </c>
      <c r="E26" s="185" t="s">
        <v>117</v>
      </c>
      <c r="F26" s="186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2" thickBot="1">
      <c r="A27" s="11" t="s">
        <v>118</v>
      </c>
      <c r="B27" s="197"/>
      <c r="C27" s="6"/>
      <c r="D27" s="4">
        <f t="shared" si="0"/>
        <v>0</v>
      </c>
      <c r="E27" s="187"/>
      <c r="F27" s="188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4" ht="11.25">
      <c r="A28" s="15" t="s">
        <v>130</v>
      </c>
      <c r="B28" s="10">
        <f>2*B9</f>
        <v>2</v>
      </c>
      <c r="C28" s="6"/>
      <c r="D28" s="4">
        <f t="shared" si="0"/>
        <v>0</v>
      </c>
    </row>
    <row r="29" spans="1:4" ht="11.25">
      <c r="A29" s="15" t="s">
        <v>131</v>
      </c>
      <c r="B29" s="10">
        <f>2*B9</f>
        <v>2</v>
      </c>
      <c r="C29" s="6"/>
      <c r="D29" s="4">
        <f t="shared" si="0"/>
        <v>0</v>
      </c>
    </row>
    <row r="30" spans="1:4" ht="11.25">
      <c r="A30" s="15" t="s">
        <v>132</v>
      </c>
      <c r="B30" s="10">
        <f>B9*2</f>
        <v>2</v>
      </c>
      <c r="C30" s="7"/>
      <c r="D30" s="4">
        <f t="shared" si="0"/>
        <v>0</v>
      </c>
    </row>
    <row r="31" spans="1:4" ht="11.25">
      <c r="A31" s="15" t="s">
        <v>133</v>
      </c>
      <c r="B31" s="10">
        <f>(IF(B5=1,1,0))*B9</f>
        <v>1</v>
      </c>
      <c r="C31" s="7"/>
      <c r="D31" s="4">
        <f t="shared" si="0"/>
        <v>0</v>
      </c>
    </row>
    <row r="32" spans="1:4" ht="11.25">
      <c r="A32" s="15" t="s">
        <v>134</v>
      </c>
      <c r="B32" s="10">
        <f>(IF(B7=1,B3-0.011,0))*B9</f>
        <v>0</v>
      </c>
      <c r="C32" s="7"/>
      <c r="D32" s="4">
        <f t="shared" si="0"/>
        <v>0</v>
      </c>
    </row>
    <row r="33" spans="1:4" ht="11.25">
      <c r="A33" s="15" t="s">
        <v>135</v>
      </c>
      <c r="B33" s="10">
        <f>(IF(B6=1,B3-0.011,IF(B7=1,B3-0.011,0)))*B9</f>
        <v>0</v>
      </c>
      <c r="C33" s="7"/>
      <c r="D33" s="4">
        <f t="shared" si="0"/>
        <v>0</v>
      </c>
    </row>
    <row r="34" spans="1:4" ht="11.25">
      <c r="A34" s="15" t="s">
        <v>136</v>
      </c>
      <c r="B34" s="10">
        <f>(IF(B8=1,2,0))*B9</f>
        <v>2</v>
      </c>
      <c r="C34" s="7"/>
      <c r="D34" s="4">
        <f t="shared" si="0"/>
        <v>0</v>
      </c>
    </row>
    <row r="35" spans="1:4" ht="11.25">
      <c r="A35" s="15" t="s">
        <v>137</v>
      </c>
      <c r="B35" s="10">
        <f>(IF(B5=1,1,0))*B9</f>
        <v>1</v>
      </c>
      <c r="C35" s="7"/>
      <c r="D35" s="4">
        <f t="shared" si="0"/>
        <v>0</v>
      </c>
    </row>
    <row r="36" spans="1:4" ht="11.25">
      <c r="A36" s="15" t="s">
        <v>109</v>
      </c>
      <c r="B36" s="10">
        <f>(IF(B8=1,(B4*2)+0.2,0))*B9</f>
        <v>2.2</v>
      </c>
      <c r="C36" s="7"/>
      <c r="D36" s="4">
        <f t="shared" si="0"/>
        <v>0</v>
      </c>
    </row>
    <row r="37" spans="1:4" ht="11.25">
      <c r="A37" s="15" t="s">
        <v>138</v>
      </c>
      <c r="B37" s="10">
        <f>B3*B9</f>
        <v>1</v>
      </c>
      <c r="C37" s="6"/>
      <c r="D37" s="4">
        <f t="shared" si="0"/>
        <v>0</v>
      </c>
    </row>
    <row r="38" spans="1:4" ht="11.25">
      <c r="A38" s="15" t="s">
        <v>139</v>
      </c>
      <c r="B38" s="10">
        <f>B3*B9</f>
        <v>1</v>
      </c>
      <c r="C38" s="6"/>
      <c r="D38" s="4">
        <f t="shared" si="0"/>
        <v>0</v>
      </c>
    </row>
    <row r="39" spans="1:4" ht="12" thickBot="1">
      <c r="A39" s="13" t="s">
        <v>140</v>
      </c>
      <c r="B39" s="14">
        <f>(B4-0.1)*2*B9</f>
        <v>1.8</v>
      </c>
      <c r="C39" s="8"/>
      <c r="D39" s="4">
        <f t="shared" si="0"/>
        <v>0</v>
      </c>
    </row>
    <row r="40" spans="3:4" ht="12.75">
      <c r="C40" s="2" t="s">
        <v>9</v>
      </c>
      <c r="D40">
        <f>SUM(D15:D39)</f>
        <v>0</v>
      </c>
    </row>
    <row r="46" spans="1:4" ht="11.25">
      <c r="A46" s="104"/>
      <c r="B46" s="105"/>
      <c r="C46" s="106"/>
      <c r="D46" s="102"/>
    </row>
    <row r="47" spans="1:4" ht="11.25">
      <c r="A47" s="104"/>
      <c r="B47" s="105"/>
      <c r="C47" s="106"/>
      <c r="D47" s="102"/>
    </row>
    <row r="48" spans="1:4" ht="11.25">
      <c r="A48" s="104"/>
      <c r="B48" s="105"/>
      <c r="C48" s="106"/>
      <c r="D48" s="102"/>
    </row>
    <row r="49" ht="16.5" customHeight="1"/>
  </sheetData>
  <sheetProtection/>
  <mergeCells count="16">
    <mergeCell ref="B26:B27"/>
    <mergeCell ref="C9:D9"/>
    <mergeCell ref="A12:D12"/>
    <mergeCell ref="A13:D13"/>
    <mergeCell ref="A10:D10"/>
    <mergeCell ref="H19:Q27"/>
    <mergeCell ref="A1:D1"/>
    <mergeCell ref="A11:D11"/>
    <mergeCell ref="E26:F27"/>
    <mergeCell ref="A2:D2"/>
    <mergeCell ref="C3:D3"/>
    <mergeCell ref="C4:D4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X46"/>
  <sheetViews>
    <sheetView zoomScalePageLayoutView="0" workbookViewId="0" topLeftCell="A7">
      <selection activeCell="G23" sqref="G23:X23"/>
    </sheetView>
  </sheetViews>
  <sheetFormatPr defaultColWidth="9.33203125" defaultRowHeight="11.25"/>
  <cols>
    <col min="1" max="1" width="59.83203125" style="0" customWidth="1"/>
    <col min="2" max="2" width="13.5" style="0" customWidth="1"/>
    <col min="3" max="3" width="11.16015625" style="0" customWidth="1"/>
    <col min="4" max="4" width="12.16015625" style="0" customWidth="1"/>
    <col min="5" max="5" width="12.5" style="0" customWidth="1"/>
  </cols>
  <sheetData>
    <row r="1" spans="1:6" ht="31.5" customHeight="1" thickBot="1">
      <c r="A1" s="203" t="s">
        <v>205</v>
      </c>
      <c r="B1" s="204"/>
      <c r="C1" s="204"/>
      <c r="D1" s="204"/>
      <c r="E1" s="21"/>
      <c r="F1" s="22"/>
    </row>
    <row r="2" spans="1:6" ht="14.25">
      <c r="A2" s="16" t="s">
        <v>3</v>
      </c>
      <c r="B2" s="23"/>
      <c r="C2" s="24"/>
      <c r="D2" s="24"/>
      <c r="E2" s="24"/>
      <c r="F2" s="25"/>
    </row>
    <row r="3" spans="1:6" ht="11.25">
      <c r="A3" s="17" t="s">
        <v>12</v>
      </c>
      <c r="B3" s="26">
        <v>1</v>
      </c>
      <c r="C3" s="24"/>
      <c r="D3" s="24"/>
      <c r="E3" s="24"/>
      <c r="F3" s="25"/>
    </row>
    <row r="4" spans="1:6" ht="11.25">
      <c r="A4" s="17" t="s">
        <v>1</v>
      </c>
      <c r="B4" s="26">
        <v>1.5</v>
      </c>
      <c r="C4" s="24"/>
      <c r="D4" s="24"/>
      <c r="E4" s="24"/>
      <c r="F4" s="25"/>
    </row>
    <row r="5" spans="1:6" ht="11.25">
      <c r="A5" s="17" t="s">
        <v>2</v>
      </c>
      <c r="B5" s="26">
        <v>1</v>
      </c>
      <c r="C5" s="24"/>
      <c r="D5" s="24"/>
      <c r="E5" s="24"/>
      <c r="F5" s="25"/>
    </row>
    <row r="6" spans="1:6" ht="11.25">
      <c r="A6" s="17" t="s">
        <v>13</v>
      </c>
      <c r="B6" s="26">
        <v>1</v>
      </c>
      <c r="C6" s="24"/>
      <c r="D6" s="24"/>
      <c r="E6" s="24"/>
      <c r="F6" s="25"/>
    </row>
    <row r="7" spans="1:6" s="9" customFormat="1" ht="18" customHeight="1">
      <c r="A7" s="17" t="s">
        <v>14</v>
      </c>
      <c r="B7" s="26">
        <v>0</v>
      </c>
      <c r="C7" s="24"/>
      <c r="D7" s="24"/>
      <c r="E7" s="24"/>
      <c r="F7" s="27"/>
    </row>
    <row r="8" spans="1:6" ht="11.25">
      <c r="A8" s="18" t="s">
        <v>155</v>
      </c>
      <c r="B8" s="26">
        <v>1</v>
      </c>
      <c r="C8" s="24"/>
      <c r="D8" s="24"/>
      <c r="E8" s="24"/>
      <c r="F8" s="25"/>
    </row>
    <row r="9" spans="1:6" ht="12" thickBot="1">
      <c r="A9" s="19" t="s">
        <v>156</v>
      </c>
      <c r="B9" s="28">
        <v>1</v>
      </c>
      <c r="C9" s="24"/>
      <c r="D9" s="24"/>
      <c r="E9" s="24"/>
      <c r="F9" s="25"/>
    </row>
    <row r="10" spans="1:6" ht="11.25">
      <c r="A10" s="29"/>
      <c r="B10" s="30"/>
      <c r="C10" s="24"/>
      <c r="D10" s="24"/>
      <c r="E10" s="24"/>
      <c r="F10" s="25"/>
    </row>
    <row r="11" spans="1:6" ht="12" thickBot="1">
      <c r="A11" s="31" t="s">
        <v>15</v>
      </c>
      <c r="B11" s="32"/>
      <c r="C11" s="32"/>
      <c r="D11" s="32"/>
      <c r="E11" s="32"/>
      <c r="F11" s="25"/>
    </row>
    <row r="12" spans="1:6" ht="14.25">
      <c r="A12" s="159"/>
      <c r="B12" s="160" t="s">
        <v>16</v>
      </c>
      <c r="C12" s="161" t="s">
        <v>4</v>
      </c>
      <c r="D12" s="161" t="s">
        <v>17</v>
      </c>
      <c r="E12" s="162"/>
      <c r="F12" s="25"/>
    </row>
    <row r="13" spans="1:6" ht="12.75" customHeight="1">
      <c r="A13" s="134" t="s">
        <v>18</v>
      </c>
      <c r="B13" s="135"/>
      <c r="C13" s="136"/>
      <c r="D13" s="141">
        <f>4*B5</f>
        <v>4</v>
      </c>
      <c r="E13" s="163">
        <f>D13*C13</f>
        <v>0</v>
      </c>
      <c r="F13" s="25"/>
    </row>
    <row r="14" spans="1:6" ht="14.25">
      <c r="A14" s="174" t="s">
        <v>19</v>
      </c>
      <c r="B14" s="139"/>
      <c r="C14" s="140"/>
      <c r="D14" s="141">
        <f>(B4-0.1)*2*B5</f>
        <v>2.8</v>
      </c>
      <c r="E14" s="163">
        <f>D14*C14</f>
        <v>0</v>
      </c>
      <c r="F14" s="25"/>
    </row>
    <row r="15" spans="1:6" ht="14.25">
      <c r="A15" s="174" t="s">
        <v>167</v>
      </c>
      <c r="B15" s="139"/>
      <c r="C15" s="140"/>
      <c r="D15" s="141">
        <f>B5</f>
        <v>1</v>
      </c>
      <c r="E15" s="163">
        <f>D15*C15</f>
        <v>0</v>
      </c>
      <c r="F15" s="25"/>
    </row>
    <row r="16" spans="1:6" ht="14.25">
      <c r="A16" s="175" t="s">
        <v>20</v>
      </c>
      <c r="B16" s="135"/>
      <c r="C16" s="136"/>
      <c r="D16" s="141">
        <f>B5</f>
        <v>1</v>
      </c>
      <c r="E16" s="163">
        <f>D16*C16</f>
        <v>0</v>
      </c>
      <c r="F16" s="25"/>
    </row>
    <row r="17" spans="1:6" ht="12" customHeight="1">
      <c r="A17" s="175" t="s">
        <v>21</v>
      </c>
      <c r="B17" s="135"/>
      <c r="C17" s="136"/>
      <c r="D17" s="141">
        <f>B5</f>
        <v>1</v>
      </c>
      <c r="E17" s="163">
        <f aca="true" t="shared" si="0" ref="E17:E29">D17*C17</f>
        <v>0</v>
      </c>
      <c r="F17" s="25"/>
    </row>
    <row r="18" spans="1:6" ht="14.25">
      <c r="A18" s="175" t="s">
        <v>22</v>
      </c>
      <c r="B18" s="135"/>
      <c r="C18" s="136"/>
      <c r="D18" s="141">
        <f>B7</f>
        <v>0</v>
      </c>
      <c r="E18" s="163">
        <f t="shared" si="0"/>
        <v>0</v>
      </c>
      <c r="F18" s="25"/>
    </row>
    <row r="19" spans="1:6" ht="14.25">
      <c r="A19" s="174" t="s">
        <v>23</v>
      </c>
      <c r="B19" s="139"/>
      <c r="C19" s="140"/>
      <c r="D19" s="141">
        <f>B6</f>
        <v>1</v>
      </c>
      <c r="E19" s="163">
        <f t="shared" si="0"/>
        <v>0</v>
      </c>
      <c r="F19" s="25"/>
    </row>
    <row r="20" spans="1:6" ht="14.25">
      <c r="A20" s="134" t="s">
        <v>24</v>
      </c>
      <c r="B20" s="135"/>
      <c r="C20" s="136"/>
      <c r="D20" s="141">
        <f>B3*B5</f>
        <v>1</v>
      </c>
      <c r="E20" s="163">
        <f t="shared" si="0"/>
        <v>0</v>
      </c>
      <c r="F20" s="25"/>
    </row>
    <row r="21" spans="1:6" ht="14.25">
      <c r="A21" s="175" t="s">
        <v>25</v>
      </c>
      <c r="B21" s="135"/>
      <c r="C21" s="136"/>
      <c r="D21" s="141">
        <f>B3*B5</f>
        <v>1</v>
      </c>
      <c r="E21" s="163">
        <f t="shared" si="0"/>
        <v>0</v>
      </c>
      <c r="F21" s="25"/>
    </row>
    <row r="22" spans="1:6" ht="14.25">
      <c r="A22" s="174" t="s">
        <v>26</v>
      </c>
      <c r="B22" s="139"/>
      <c r="C22" s="140"/>
      <c r="D22" s="141">
        <f>B5*2</f>
        <v>2</v>
      </c>
      <c r="E22" s="163">
        <f t="shared" si="0"/>
        <v>0</v>
      </c>
      <c r="F22" s="25"/>
    </row>
    <row r="23" spans="1:24" ht="14.25">
      <c r="A23" s="175" t="s">
        <v>27</v>
      </c>
      <c r="B23" s="135"/>
      <c r="C23" s="136"/>
      <c r="D23" s="141">
        <f>(B4-0.05)*2*B5</f>
        <v>2.9</v>
      </c>
      <c r="E23" s="163">
        <f t="shared" si="0"/>
        <v>0</v>
      </c>
      <c r="F23" s="25"/>
      <c r="G23" s="208" t="s">
        <v>206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1:6" ht="14.25">
      <c r="A24" s="175" t="s">
        <v>28</v>
      </c>
      <c r="B24" s="135"/>
      <c r="C24" s="136"/>
      <c r="D24" s="141">
        <f>B3*B5</f>
        <v>1</v>
      </c>
      <c r="E24" s="163">
        <f t="shared" si="0"/>
        <v>0</v>
      </c>
      <c r="F24" s="25"/>
    </row>
    <row r="25" spans="1:6" ht="14.25">
      <c r="A25" s="134" t="s">
        <v>29</v>
      </c>
      <c r="B25" s="135"/>
      <c r="C25" s="136"/>
      <c r="D25" s="141">
        <f>(B4-0.05)*B5*2</f>
        <v>2.9</v>
      </c>
      <c r="E25" s="163">
        <f t="shared" si="0"/>
        <v>0</v>
      </c>
      <c r="F25" s="25"/>
    </row>
    <row r="26" spans="1:6" ht="14.25">
      <c r="A26" s="134" t="s">
        <v>30</v>
      </c>
      <c r="B26" s="135"/>
      <c r="C26" s="142"/>
      <c r="D26" s="141">
        <f>B3*B5</f>
        <v>1</v>
      </c>
      <c r="E26" s="163">
        <f t="shared" si="0"/>
        <v>0</v>
      </c>
      <c r="F26" s="25"/>
    </row>
    <row r="27" spans="1:6" ht="14.25">
      <c r="A27" s="134" t="s">
        <v>31</v>
      </c>
      <c r="B27" s="135"/>
      <c r="C27" s="142"/>
      <c r="D27" s="141">
        <f>B3*B5</f>
        <v>1</v>
      </c>
      <c r="E27" s="163">
        <f t="shared" si="0"/>
        <v>0</v>
      </c>
      <c r="F27" s="25"/>
    </row>
    <row r="28" spans="1:23" ht="14.25">
      <c r="A28" s="175" t="s">
        <v>32</v>
      </c>
      <c r="B28" s="135"/>
      <c r="C28" s="136"/>
      <c r="D28" s="141">
        <f>B3*B5</f>
        <v>1</v>
      </c>
      <c r="E28" s="163">
        <f t="shared" si="0"/>
        <v>0</v>
      </c>
      <c r="F28" s="25"/>
      <c r="J28" s="209" t="s">
        <v>208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29" spans="1:23" ht="15" thickBot="1">
      <c r="A29" s="176" t="s">
        <v>33</v>
      </c>
      <c r="B29" s="147"/>
      <c r="C29" s="164"/>
      <c r="D29" s="165">
        <f>B5</f>
        <v>1</v>
      </c>
      <c r="E29" s="166">
        <f t="shared" si="0"/>
        <v>0</v>
      </c>
      <c r="F29" s="25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</row>
    <row r="30" spans="1:23" ht="11.25">
      <c r="A30" s="29"/>
      <c r="B30" s="24"/>
      <c r="C30" s="24"/>
      <c r="D30" s="24"/>
      <c r="E30" s="47">
        <f>SUM(E13:E29)</f>
        <v>0</v>
      </c>
      <c r="F30" s="25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1:23" ht="11.25">
      <c r="A31" s="29"/>
      <c r="B31" s="24"/>
      <c r="C31" s="24"/>
      <c r="D31" s="24"/>
      <c r="E31" s="24"/>
      <c r="F31" s="25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  <row r="32" spans="1:23" ht="12" thickBot="1">
      <c r="A32" s="31"/>
      <c r="B32" s="32"/>
      <c r="C32" s="32"/>
      <c r="D32" s="32"/>
      <c r="E32" s="24"/>
      <c r="F32" s="25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</row>
    <row r="33" spans="1:23" ht="11.25">
      <c r="A33" s="48"/>
      <c r="B33" s="34"/>
      <c r="C33" s="34"/>
      <c r="D33" s="34"/>
      <c r="E33" s="23"/>
      <c r="F33" s="25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1:6" ht="11.25">
      <c r="A34" s="36"/>
      <c r="B34" s="37"/>
      <c r="C34" s="38"/>
      <c r="D34" s="39"/>
      <c r="E34" s="40"/>
      <c r="F34" s="25"/>
    </row>
    <row r="35" spans="1:22" ht="11.25">
      <c r="A35" s="36"/>
      <c r="B35" s="37"/>
      <c r="C35" s="38"/>
      <c r="D35" s="39"/>
      <c r="E35" s="40"/>
      <c r="F35" s="25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6" ht="12" thickBot="1">
      <c r="A36" s="42"/>
      <c r="B36" s="43"/>
      <c r="C36" s="44"/>
      <c r="D36" s="45"/>
      <c r="E36" s="46"/>
      <c r="F36" s="25"/>
    </row>
    <row r="37" spans="1:6" ht="11.25">
      <c r="A37" s="205" t="s">
        <v>35</v>
      </c>
      <c r="B37" s="206"/>
      <c r="C37" s="206"/>
      <c r="D37" s="207"/>
      <c r="E37" s="49">
        <f>SUM(E34:E36)+E30</f>
        <v>0</v>
      </c>
      <c r="F37" s="25"/>
    </row>
    <row r="38" spans="1:6" ht="12" thickBot="1">
      <c r="A38" s="31" t="s">
        <v>207</v>
      </c>
      <c r="B38" s="24"/>
      <c r="C38" s="24"/>
      <c r="D38" s="50"/>
      <c r="E38" s="51"/>
      <c r="F38" s="25"/>
    </row>
    <row r="39" spans="1:6" ht="11.25">
      <c r="A39" s="177" t="s">
        <v>36</v>
      </c>
      <c r="B39" s="52"/>
      <c r="C39" s="53"/>
      <c r="D39" s="34">
        <f>B3*B9</f>
        <v>1</v>
      </c>
      <c r="E39" s="23">
        <f>D39*C39*B9</f>
        <v>0</v>
      </c>
      <c r="F39" s="25"/>
    </row>
    <row r="40" spans="1:6" ht="11.25">
      <c r="A40" s="169" t="s">
        <v>37</v>
      </c>
      <c r="B40" s="37"/>
      <c r="C40" s="38"/>
      <c r="D40" s="39">
        <f>(B4-0.05)*2*B9</f>
        <v>2.9</v>
      </c>
      <c r="E40" s="40">
        <f>D40*C40*B9</f>
        <v>0</v>
      </c>
      <c r="F40" s="25"/>
    </row>
    <row r="41" spans="1:6" ht="11.25">
      <c r="A41" s="169" t="s">
        <v>38</v>
      </c>
      <c r="B41" s="37"/>
      <c r="C41" s="38"/>
      <c r="D41" s="39">
        <f>B9</f>
        <v>1</v>
      </c>
      <c r="E41" s="40">
        <f>D41*C41*B9</f>
        <v>0</v>
      </c>
      <c r="F41" s="25"/>
    </row>
    <row r="42" spans="1:6" ht="11.25">
      <c r="A42" s="36"/>
      <c r="B42" s="37"/>
      <c r="C42" s="38"/>
      <c r="D42" s="39"/>
      <c r="E42" s="40">
        <f>D42*C42*B9</f>
        <v>0</v>
      </c>
      <c r="F42" s="25"/>
    </row>
    <row r="43" spans="1:6" ht="11.25">
      <c r="A43" s="169" t="s">
        <v>39</v>
      </c>
      <c r="B43" s="37"/>
      <c r="C43" s="20"/>
      <c r="D43" s="39">
        <f>B9</f>
        <v>1</v>
      </c>
      <c r="E43" s="40">
        <f>D43*C43*B9</f>
        <v>0</v>
      </c>
      <c r="F43" s="25"/>
    </row>
    <row r="44" spans="1:6" ht="12" thickBot="1">
      <c r="A44" s="42" t="s">
        <v>40</v>
      </c>
      <c r="B44" s="43"/>
      <c r="C44" s="44"/>
      <c r="D44" s="54">
        <f>-D40</f>
        <v>-2.9</v>
      </c>
      <c r="E44" s="46">
        <f>D44*C44*B9</f>
        <v>0</v>
      </c>
      <c r="F44" s="25"/>
    </row>
    <row r="45" spans="1:6" ht="11.25">
      <c r="A45" s="205" t="s">
        <v>35</v>
      </c>
      <c r="B45" s="206"/>
      <c r="C45" s="206"/>
      <c r="D45" s="206"/>
      <c r="E45" s="55">
        <f>SUM(E39:E44)+E30</f>
        <v>0</v>
      </c>
      <c r="F45" s="25"/>
    </row>
    <row r="46" spans="1:6" ht="11.25">
      <c r="A46" s="56"/>
      <c r="B46" s="24"/>
      <c r="C46" s="24"/>
      <c r="D46" s="24"/>
      <c r="E46" s="47"/>
      <c r="F46" s="25"/>
    </row>
  </sheetData>
  <sheetProtection/>
  <mergeCells count="6">
    <mergeCell ref="A1:D1"/>
    <mergeCell ref="A37:D37"/>
    <mergeCell ref="A45:D45"/>
    <mergeCell ref="G23:X23"/>
    <mergeCell ref="H35:V35"/>
    <mergeCell ref="J28:W3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F21"/>
  <sheetViews>
    <sheetView zoomScalePageLayoutView="0" workbookViewId="0" topLeftCell="A1">
      <selection activeCell="D35" sqref="D35"/>
    </sheetView>
  </sheetViews>
  <sheetFormatPr defaultColWidth="9.33203125" defaultRowHeight="11.25"/>
  <cols>
    <col min="1" max="1" width="59.83203125" style="0" customWidth="1"/>
    <col min="2" max="2" width="17.5" style="0" bestFit="1" customWidth="1"/>
    <col min="3" max="3" width="10.16015625" style="0" customWidth="1"/>
    <col min="4" max="4" width="12.16015625" style="0" customWidth="1"/>
    <col min="5" max="5" width="12.5" style="0" customWidth="1"/>
  </cols>
  <sheetData>
    <row r="1" spans="1:5" ht="31.5" customHeight="1" thickBot="1">
      <c r="A1" s="203" t="s">
        <v>165</v>
      </c>
      <c r="B1" s="212"/>
      <c r="C1" s="212"/>
      <c r="D1" s="212"/>
      <c r="E1" s="213"/>
    </row>
    <row r="2" spans="1:5" ht="14.25">
      <c r="A2" s="16" t="s">
        <v>3</v>
      </c>
      <c r="B2" s="23"/>
      <c r="C2" s="24"/>
      <c r="D2" s="24"/>
      <c r="E2" s="25"/>
    </row>
    <row r="3" spans="1:5" ht="11.25">
      <c r="A3" s="17" t="s">
        <v>12</v>
      </c>
      <c r="B3" s="26">
        <v>1</v>
      </c>
      <c r="C3" s="24"/>
      <c r="D3" s="24"/>
      <c r="E3" s="25"/>
    </row>
    <row r="4" spans="1:5" ht="11.25">
      <c r="A4" s="17" t="s">
        <v>1</v>
      </c>
      <c r="B4" s="26">
        <v>1</v>
      </c>
      <c r="C4" s="24"/>
      <c r="D4" s="24"/>
      <c r="E4" s="25"/>
    </row>
    <row r="5" spans="1:5" ht="12" thickBot="1">
      <c r="A5" s="122" t="s">
        <v>85</v>
      </c>
      <c r="B5" s="28">
        <v>0</v>
      </c>
      <c r="C5" s="24" t="s">
        <v>164</v>
      </c>
      <c r="D5" s="24"/>
      <c r="E5" s="25"/>
    </row>
    <row r="6" spans="1:5" ht="12" thickBot="1">
      <c r="A6" s="123" t="s">
        <v>2</v>
      </c>
      <c r="B6" s="124">
        <v>1</v>
      </c>
      <c r="C6" s="24"/>
      <c r="D6" s="24"/>
      <c r="E6" s="25"/>
    </row>
    <row r="7" spans="1:5" ht="11.25">
      <c r="A7" s="210"/>
      <c r="B7" s="211"/>
      <c r="C7" s="211"/>
      <c r="D7" s="211"/>
      <c r="E7" s="25"/>
    </row>
    <row r="8" spans="1:5" ht="11.25">
      <c r="A8" s="29"/>
      <c r="B8" s="30"/>
      <c r="C8" s="24"/>
      <c r="D8" s="24"/>
      <c r="E8" s="25"/>
    </row>
    <row r="9" spans="1:5" ht="12" thickBot="1">
      <c r="A9" s="31"/>
      <c r="B9" s="32"/>
      <c r="C9" s="32"/>
      <c r="D9" s="32"/>
      <c r="E9" s="126"/>
    </row>
    <row r="10" spans="1:5" ht="11.25">
      <c r="A10" s="33"/>
      <c r="B10" s="35" t="s">
        <v>16</v>
      </c>
      <c r="C10" s="35" t="s">
        <v>4</v>
      </c>
      <c r="D10" s="35" t="s">
        <v>17</v>
      </c>
      <c r="E10" s="125"/>
    </row>
    <row r="11" spans="1:5" ht="12.75" customHeight="1">
      <c r="A11" s="114" t="s">
        <v>163</v>
      </c>
      <c r="B11" s="115"/>
      <c r="C11" s="116"/>
      <c r="D11" s="103">
        <f>4*B6</f>
        <v>4</v>
      </c>
      <c r="E11" s="100">
        <f aca="true" t="shared" si="0" ref="E11:E21">D11*C11</f>
        <v>0</v>
      </c>
    </row>
    <row r="12" spans="1:5" ht="12" customHeight="1">
      <c r="A12" s="114" t="s">
        <v>162</v>
      </c>
      <c r="B12" s="115"/>
      <c r="C12" s="116"/>
      <c r="D12" s="103">
        <f>IF(B5=1,(B3+0.03)*B6,0)</f>
        <v>0</v>
      </c>
      <c r="E12" s="100">
        <f t="shared" si="0"/>
        <v>0</v>
      </c>
    </row>
    <row r="13" spans="1:5" ht="11.25">
      <c r="A13" s="114" t="s">
        <v>160</v>
      </c>
      <c r="B13" s="115"/>
      <c r="C13" s="116"/>
      <c r="D13" s="103">
        <f>B6</f>
        <v>1</v>
      </c>
      <c r="E13" s="100">
        <f t="shared" si="0"/>
        <v>0</v>
      </c>
    </row>
    <row r="14" spans="1:5" ht="11.25">
      <c r="A14" s="117" t="s">
        <v>36</v>
      </c>
      <c r="B14" s="115"/>
      <c r="C14" s="116"/>
      <c r="D14" s="103">
        <f>(B3+0.03)*B6</f>
        <v>1.03</v>
      </c>
      <c r="E14" s="100">
        <f t="shared" si="0"/>
        <v>0</v>
      </c>
    </row>
    <row r="15" spans="1:5" ht="11.25">
      <c r="A15" s="114" t="s">
        <v>161</v>
      </c>
      <c r="B15" s="115"/>
      <c r="C15" s="116"/>
      <c r="D15" s="103">
        <f>(B3+0.028)*B6</f>
        <v>1.028</v>
      </c>
      <c r="E15" s="100">
        <f t="shared" si="0"/>
        <v>0</v>
      </c>
    </row>
    <row r="16" spans="1:5" ht="11.25">
      <c r="A16" s="114" t="s">
        <v>25</v>
      </c>
      <c r="B16" s="115"/>
      <c r="C16" s="116"/>
      <c r="D16" s="103">
        <f>(B3+0.03)*B6</f>
        <v>1.03</v>
      </c>
      <c r="E16" s="100">
        <f t="shared" si="0"/>
        <v>0</v>
      </c>
    </row>
    <row r="17" spans="1:6" ht="11.25">
      <c r="A17" s="114" t="s">
        <v>158</v>
      </c>
      <c r="B17" s="115"/>
      <c r="C17" s="116"/>
      <c r="D17" s="103">
        <f>(B4-0.02)*2*B6</f>
        <v>1.96</v>
      </c>
      <c r="E17" s="100">
        <f t="shared" si="0"/>
        <v>0</v>
      </c>
      <c r="F17" t="s">
        <v>157</v>
      </c>
    </row>
    <row r="18" spans="1:5" ht="11.25">
      <c r="A18" s="114" t="s">
        <v>159</v>
      </c>
      <c r="B18" s="115"/>
      <c r="C18" s="116"/>
      <c r="D18" s="103">
        <f>(B3-0.001)*B6</f>
        <v>0.999</v>
      </c>
      <c r="E18" s="100">
        <f t="shared" si="0"/>
        <v>0</v>
      </c>
    </row>
    <row r="19" spans="1:5" ht="11.25">
      <c r="A19" s="114" t="s">
        <v>29</v>
      </c>
      <c r="B19" s="115"/>
      <c r="C19" s="116"/>
      <c r="D19" s="103">
        <f>(IF(B5=1,(B4-0.02)*2+0.065*2,(B4-0.02)*2))*B6</f>
        <v>1.96</v>
      </c>
      <c r="E19" s="100">
        <f t="shared" si="0"/>
        <v>0</v>
      </c>
    </row>
    <row r="20" spans="1:5" ht="11.25">
      <c r="A20" s="114" t="s">
        <v>30</v>
      </c>
      <c r="B20" s="115"/>
      <c r="C20" s="118"/>
      <c r="D20" s="103">
        <f>(B3+0.028)*B6</f>
        <v>1.028</v>
      </c>
      <c r="E20" s="100">
        <f t="shared" si="0"/>
        <v>0</v>
      </c>
    </row>
    <row r="21" spans="1:5" ht="12" thickBot="1">
      <c r="A21" s="119" t="s">
        <v>31</v>
      </c>
      <c r="B21" s="120"/>
      <c r="C21" s="121"/>
      <c r="D21" s="113">
        <f>B3*B6</f>
        <v>1</v>
      </c>
      <c r="E21" s="101">
        <f t="shared" si="0"/>
        <v>0</v>
      </c>
    </row>
  </sheetData>
  <sheetProtection/>
  <mergeCells count="2">
    <mergeCell ref="A7:D7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N44"/>
  <sheetViews>
    <sheetView zoomScalePageLayoutView="0" workbookViewId="0" topLeftCell="A1">
      <selection activeCell="B35" sqref="B35"/>
    </sheetView>
  </sheetViews>
  <sheetFormatPr defaultColWidth="9.33203125" defaultRowHeight="11.25"/>
  <cols>
    <col min="1" max="1" width="59.83203125" style="0" customWidth="1"/>
    <col min="2" max="2" width="17.5" style="0" bestFit="1" customWidth="1"/>
    <col min="3" max="3" width="11.16015625" style="0" customWidth="1"/>
    <col min="4" max="4" width="12.16015625" style="0" customWidth="1"/>
    <col min="5" max="5" width="12.5" style="0" customWidth="1"/>
    <col min="10" max="10" width="63" style="0" bestFit="1" customWidth="1"/>
    <col min="11" max="11" width="19.66015625" style="0" bestFit="1" customWidth="1"/>
    <col min="12" max="12" width="12.5" style="0" bestFit="1" customWidth="1"/>
    <col min="13" max="13" width="7.83203125" style="0" bestFit="1" customWidth="1"/>
    <col min="14" max="14" width="30" style="0" customWidth="1"/>
  </cols>
  <sheetData>
    <row r="1" spans="1:14" ht="31.5" customHeight="1" thickBot="1">
      <c r="A1" s="203" t="s">
        <v>211</v>
      </c>
      <c r="B1" s="212"/>
      <c r="C1" s="212"/>
      <c r="D1" s="212"/>
      <c r="E1" s="213"/>
      <c r="J1" s="203" t="s">
        <v>217</v>
      </c>
      <c r="K1" s="212"/>
      <c r="L1" s="212"/>
      <c r="M1" s="212"/>
      <c r="N1" s="213"/>
    </row>
    <row r="2" spans="1:14" ht="14.25">
      <c r="A2" s="16" t="s">
        <v>3</v>
      </c>
      <c r="B2" s="23"/>
      <c r="C2" s="24"/>
      <c r="D2" s="24"/>
      <c r="E2" s="25"/>
      <c r="J2" s="16" t="s">
        <v>3</v>
      </c>
      <c r="K2" s="23"/>
      <c r="L2" s="24"/>
      <c r="M2" s="24"/>
      <c r="N2" s="25"/>
    </row>
    <row r="3" spans="1:14" ht="11.25">
      <c r="A3" s="17" t="s">
        <v>12</v>
      </c>
      <c r="B3" s="26">
        <v>1</v>
      </c>
      <c r="C3" s="24"/>
      <c r="D3" s="24"/>
      <c r="E3" s="25"/>
      <c r="J3" s="17" t="s">
        <v>12</v>
      </c>
      <c r="K3" s="26">
        <v>1</v>
      </c>
      <c r="L3" s="24"/>
      <c r="M3" s="24"/>
      <c r="N3" s="25"/>
    </row>
    <row r="4" spans="1:14" ht="11.25">
      <c r="A4" s="17" t="s">
        <v>1</v>
      </c>
      <c r="B4" s="26">
        <v>1.5</v>
      </c>
      <c r="C4" s="24"/>
      <c r="D4" s="24"/>
      <c r="E4" s="25"/>
      <c r="J4" s="17" t="s">
        <v>1</v>
      </c>
      <c r="K4" s="26">
        <v>1.5</v>
      </c>
      <c r="L4" s="24"/>
      <c r="M4" s="24"/>
      <c r="N4" s="25"/>
    </row>
    <row r="5" spans="1:14" ht="11.25">
      <c r="A5" s="17" t="s">
        <v>172</v>
      </c>
      <c r="B5" s="26">
        <v>1</v>
      </c>
      <c r="C5" s="24"/>
      <c r="D5" s="24"/>
      <c r="E5" s="25"/>
      <c r="J5" s="17" t="s">
        <v>172</v>
      </c>
      <c r="K5" s="26">
        <v>1</v>
      </c>
      <c r="L5" s="24"/>
      <c r="M5" s="24"/>
      <c r="N5" s="25"/>
    </row>
    <row r="6" spans="1:14" s="9" customFormat="1" ht="12.75">
      <c r="A6" s="17" t="s">
        <v>173</v>
      </c>
      <c r="B6" s="26">
        <v>0</v>
      </c>
      <c r="C6" s="24"/>
      <c r="D6" s="24"/>
      <c r="E6" s="25"/>
      <c r="J6" s="17" t="s">
        <v>173</v>
      </c>
      <c r="K6" s="26">
        <v>0</v>
      </c>
      <c r="L6" s="24"/>
      <c r="M6" s="24"/>
      <c r="N6" s="25"/>
    </row>
    <row r="7" spans="1:14" ht="12" thickBot="1">
      <c r="A7" s="122" t="s">
        <v>168</v>
      </c>
      <c r="B7" s="28">
        <v>0</v>
      </c>
      <c r="C7" s="24" t="s">
        <v>164</v>
      </c>
      <c r="D7" s="24"/>
      <c r="E7" s="25"/>
      <c r="J7" s="122" t="s">
        <v>168</v>
      </c>
      <c r="K7" s="28">
        <v>0</v>
      </c>
      <c r="L7" s="24" t="s">
        <v>164</v>
      </c>
      <c r="M7" s="24"/>
      <c r="N7" s="25"/>
    </row>
    <row r="8" spans="1:14" ht="11.25">
      <c r="A8" s="29"/>
      <c r="B8" s="30"/>
      <c r="C8" s="24"/>
      <c r="D8" s="24"/>
      <c r="E8" s="25"/>
      <c r="J8" s="29"/>
      <c r="K8" s="30"/>
      <c r="L8" s="24"/>
      <c r="M8" s="24"/>
      <c r="N8" s="25"/>
    </row>
    <row r="9" spans="1:14" ht="12" thickBot="1">
      <c r="A9" s="31" t="s">
        <v>15</v>
      </c>
      <c r="B9" s="32"/>
      <c r="C9" s="32"/>
      <c r="D9" s="32"/>
      <c r="E9" s="126"/>
      <c r="J9" s="31" t="s">
        <v>15</v>
      </c>
      <c r="K9" s="32"/>
      <c r="L9" s="32"/>
      <c r="M9" s="32"/>
      <c r="N9" s="126"/>
    </row>
    <row r="10" spans="1:14" ht="12.75">
      <c r="A10" s="150"/>
      <c r="B10" s="151" t="s">
        <v>16</v>
      </c>
      <c r="C10" s="152" t="s">
        <v>4</v>
      </c>
      <c r="D10" s="152" t="s">
        <v>17</v>
      </c>
      <c r="E10" s="153"/>
      <c r="J10" s="150"/>
      <c r="K10" s="151" t="s">
        <v>16</v>
      </c>
      <c r="L10" s="152" t="s">
        <v>4</v>
      </c>
      <c r="M10" s="152" t="s">
        <v>17</v>
      </c>
      <c r="N10" s="153"/>
    </row>
    <row r="11" spans="1:14" ht="14.25">
      <c r="A11" s="175" t="s">
        <v>169</v>
      </c>
      <c r="B11" s="135"/>
      <c r="C11" s="136"/>
      <c r="D11" s="137">
        <f>B6</f>
        <v>0</v>
      </c>
      <c r="E11" s="138">
        <f>D11*C11</f>
        <v>0</v>
      </c>
      <c r="J11" s="175" t="s">
        <v>169</v>
      </c>
      <c r="K11" s="135"/>
      <c r="L11" s="136"/>
      <c r="M11" s="137">
        <f>K6</f>
        <v>0</v>
      </c>
      <c r="N11" s="138">
        <f>M11*L11</f>
        <v>0</v>
      </c>
    </row>
    <row r="12" spans="1:14" ht="14.25">
      <c r="A12" s="174" t="s">
        <v>170</v>
      </c>
      <c r="B12" s="139"/>
      <c r="C12" s="154"/>
      <c r="D12" s="137">
        <f>B5</f>
        <v>1</v>
      </c>
      <c r="E12" s="138">
        <f>D12*C12</f>
        <v>0</v>
      </c>
      <c r="J12" s="174" t="s">
        <v>170</v>
      </c>
      <c r="K12" s="139"/>
      <c r="L12" s="154"/>
      <c r="M12" s="137">
        <f>K5</f>
        <v>1</v>
      </c>
      <c r="N12" s="138">
        <f>M12*L12</f>
        <v>0</v>
      </c>
    </row>
    <row r="13" spans="1:14" ht="14.25">
      <c r="A13" s="178" t="s">
        <v>171</v>
      </c>
      <c r="B13" s="141"/>
      <c r="C13" s="137"/>
      <c r="D13" s="137">
        <f>B3*(B5+B6)</f>
        <v>1</v>
      </c>
      <c r="E13" s="138">
        <f aca="true" t="shared" si="0" ref="E13:E28">D13*C13</f>
        <v>0</v>
      </c>
      <c r="J13" s="178" t="s">
        <v>171</v>
      </c>
      <c r="K13" s="141"/>
      <c r="L13" s="137"/>
      <c r="M13" s="137">
        <f>K3*(K5+K6)</f>
        <v>1</v>
      </c>
      <c r="N13" s="138">
        <f aca="true" t="shared" si="1" ref="N13:N28">M13*L13</f>
        <v>0</v>
      </c>
    </row>
    <row r="14" spans="1:14" ht="12" customHeight="1">
      <c r="A14" s="175" t="s">
        <v>21</v>
      </c>
      <c r="B14" s="135"/>
      <c r="C14" s="154"/>
      <c r="D14" s="137">
        <f>B5+B6</f>
        <v>1</v>
      </c>
      <c r="E14" s="138">
        <f t="shared" si="0"/>
        <v>0</v>
      </c>
      <c r="J14" s="175" t="s">
        <v>21</v>
      </c>
      <c r="K14" s="135"/>
      <c r="L14" s="154"/>
      <c r="M14" s="137">
        <f>K5+K6</f>
        <v>1</v>
      </c>
      <c r="N14" s="138">
        <f t="shared" si="1"/>
        <v>0</v>
      </c>
    </row>
    <row r="15" spans="1:14" ht="14.25">
      <c r="A15" s="175" t="s">
        <v>25</v>
      </c>
      <c r="B15" s="135"/>
      <c r="C15" s="154"/>
      <c r="D15" s="137">
        <f>B3*(B5+B6)</f>
        <v>1</v>
      </c>
      <c r="E15" s="138">
        <f t="shared" si="0"/>
        <v>0</v>
      </c>
      <c r="J15" s="175" t="s">
        <v>25</v>
      </c>
      <c r="K15" s="135"/>
      <c r="L15" s="154"/>
      <c r="M15" s="137">
        <f>K3*(K5+K6)</f>
        <v>1</v>
      </c>
      <c r="N15" s="138">
        <f t="shared" si="1"/>
        <v>0</v>
      </c>
    </row>
    <row r="16" spans="1:14" ht="14.25">
      <c r="A16" s="134" t="s">
        <v>30</v>
      </c>
      <c r="B16" s="135"/>
      <c r="C16" s="155"/>
      <c r="D16" s="137">
        <f>B3*(B5+B6)</f>
        <v>1</v>
      </c>
      <c r="E16" s="138">
        <f t="shared" si="0"/>
        <v>0</v>
      </c>
      <c r="J16" s="134" t="s">
        <v>30</v>
      </c>
      <c r="K16" s="135"/>
      <c r="L16" s="155"/>
      <c r="M16" s="137">
        <f>K3*(K5+K6)</f>
        <v>1</v>
      </c>
      <c r="N16" s="138">
        <f t="shared" si="1"/>
        <v>0</v>
      </c>
    </row>
    <row r="17" spans="1:14" ht="14.25">
      <c r="A17" s="134" t="s">
        <v>29</v>
      </c>
      <c r="B17" s="135"/>
      <c r="C17" s="154"/>
      <c r="D17" s="137">
        <f>IF(B7=0,(B4-0.04)*2*(B5+B6),(B3+(B4-0.04+0.07)*2)*(B5+B6))</f>
        <v>2.92</v>
      </c>
      <c r="E17" s="138">
        <f t="shared" si="0"/>
        <v>0</v>
      </c>
      <c r="J17" s="134" t="s">
        <v>29</v>
      </c>
      <c r="K17" s="135"/>
      <c r="L17" s="154"/>
      <c r="M17" s="137">
        <f>IF(K7=0,(K4-0.04)*2*(K5+K6),(K3+(K4-0.04+0.07)*2)*(K5+K6))</f>
        <v>2.92</v>
      </c>
      <c r="N17" s="138">
        <f t="shared" si="1"/>
        <v>0</v>
      </c>
    </row>
    <row r="18" spans="1:14" ht="14.25">
      <c r="A18" s="175" t="s">
        <v>20</v>
      </c>
      <c r="B18" s="135"/>
      <c r="C18" s="154"/>
      <c r="D18" s="137">
        <f>B5+B6</f>
        <v>1</v>
      </c>
      <c r="E18" s="138">
        <f t="shared" si="0"/>
        <v>0</v>
      </c>
      <c r="J18" s="175" t="s">
        <v>20</v>
      </c>
      <c r="K18" s="135"/>
      <c r="L18" s="154"/>
      <c r="M18" s="137">
        <f>K5+K6</f>
        <v>1</v>
      </c>
      <c r="N18" s="138">
        <f t="shared" si="1"/>
        <v>0</v>
      </c>
    </row>
    <row r="19" spans="1:14" ht="14.25">
      <c r="A19" s="134" t="s">
        <v>24</v>
      </c>
      <c r="B19" s="135"/>
      <c r="C19" s="154"/>
      <c r="D19" s="137">
        <f>B3*(B5+B6)</f>
        <v>1</v>
      </c>
      <c r="E19" s="138">
        <f t="shared" si="0"/>
        <v>0</v>
      </c>
      <c r="J19" s="134" t="s">
        <v>24</v>
      </c>
      <c r="K19" s="135"/>
      <c r="L19" s="154"/>
      <c r="M19" s="137">
        <f>K3*(K5+K6)</f>
        <v>1</v>
      </c>
      <c r="N19" s="138">
        <f t="shared" si="1"/>
        <v>0</v>
      </c>
    </row>
    <row r="20" spans="1:14" ht="14.25">
      <c r="A20" s="174" t="s">
        <v>19</v>
      </c>
      <c r="B20" s="139"/>
      <c r="C20" s="154"/>
      <c r="D20" s="137">
        <f>B4*1.1*(B5+B6)</f>
        <v>1.6500000000000001</v>
      </c>
      <c r="E20" s="138">
        <f t="shared" si="0"/>
        <v>0</v>
      </c>
      <c r="J20" s="174" t="s">
        <v>19</v>
      </c>
      <c r="K20" s="139"/>
      <c r="L20" s="154"/>
      <c r="M20" s="137">
        <f>K4*1.1*(K5+K6)</f>
        <v>1.6500000000000001</v>
      </c>
      <c r="N20" s="138">
        <f t="shared" si="1"/>
        <v>0</v>
      </c>
    </row>
    <row r="21" spans="1:14" ht="12.75" customHeight="1">
      <c r="A21" s="134" t="s">
        <v>174</v>
      </c>
      <c r="B21" s="135"/>
      <c r="C21" s="154"/>
      <c r="D21" s="137">
        <f>(B5+B6)*4</f>
        <v>4</v>
      </c>
      <c r="E21" s="138">
        <f t="shared" si="0"/>
        <v>0</v>
      </c>
      <c r="J21" s="134" t="s">
        <v>174</v>
      </c>
      <c r="K21" s="135"/>
      <c r="L21" s="154"/>
      <c r="M21" s="137">
        <f>(K5+K6)*4</f>
        <v>4</v>
      </c>
      <c r="N21" s="138">
        <f t="shared" si="1"/>
        <v>0</v>
      </c>
    </row>
    <row r="22" spans="1:14" ht="14.25">
      <c r="A22" s="175" t="s">
        <v>177</v>
      </c>
      <c r="B22" s="135"/>
      <c r="C22" s="154"/>
      <c r="D22" s="137">
        <f>2*(B5+B6)</f>
        <v>2</v>
      </c>
      <c r="E22" s="138">
        <f t="shared" si="0"/>
        <v>0</v>
      </c>
      <c r="J22" s="175" t="s">
        <v>177</v>
      </c>
      <c r="K22" s="135"/>
      <c r="L22" s="154"/>
      <c r="M22" s="137">
        <f>2*(K5+K6)</f>
        <v>2</v>
      </c>
      <c r="N22" s="138">
        <f t="shared" si="1"/>
        <v>0</v>
      </c>
    </row>
    <row r="23" spans="1:14" ht="14.25">
      <c r="A23" s="179" t="s">
        <v>175</v>
      </c>
      <c r="B23" s="144"/>
      <c r="C23" s="145"/>
      <c r="D23" s="145">
        <f>B3*(B5+B6)</f>
        <v>1</v>
      </c>
      <c r="E23" s="138">
        <f t="shared" si="0"/>
        <v>0</v>
      </c>
      <c r="F23" s="208" t="s">
        <v>212</v>
      </c>
      <c r="G23" s="181"/>
      <c r="H23" s="181"/>
      <c r="I23" s="215"/>
      <c r="J23" s="179" t="s">
        <v>214</v>
      </c>
      <c r="K23" s="144"/>
      <c r="L23" s="145"/>
      <c r="M23" s="145">
        <f>K3*(K5+K6)</f>
        <v>1</v>
      </c>
      <c r="N23" s="138">
        <f t="shared" si="1"/>
        <v>0</v>
      </c>
    </row>
    <row r="24" spans="1:14" ht="14.25">
      <c r="A24" s="179" t="s">
        <v>176</v>
      </c>
      <c r="B24" s="144"/>
      <c r="C24" s="145"/>
      <c r="D24" s="145">
        <f>B5+B6</f>
        <v>1</v>
      </c>
      <c r="E24" s="138">
        <f t="shared" si="0"/>
        <v>0</v>
      </c>
      <c r="F24" s="208" t="s">
        <v>212</v>
      </c>
      <c r="G24" s="181"/>
      <c r="H24" s="181"/>
      <c r="I24" s="215"/>
      <c r="J24" s="179" t="s">
        <v>213</v>
      </c>
      <c r="K24" s="144"/>
      <c r="L24" s="145"/>
      <c r="M24" s="145">
        <f>K5+K6</f>
        <v>1</v>
      </c>
      <c r="N24" s="138">
        <f t="shared" si="1"/>
        <v>0</v>
      </c>
    </row>
    <row r="25" spans="1:14" ht="14.25">
      <c r="A25" s="179" t="s">
        <v>178</v>
      </c>
      <c r="B25" s="144"/>
      <c r="C25" s="145"/>
      <c r="D25" s="145">
        <f>(B4-0.04)*2*(B5+B6)</f>
        <v>2.92</v>
      </c>
      <c r="E25" s="138">
        <f t="shared" si="0"/>
        <v>0</v>
      </c>
      <c r="F25" s="208" t="s">
        <v>212</v>
      </c>
      <c r="G25" s="181"/>
      <c r="H25" s="181"/>
      <c r="I25" s="215"/>
      <c r="J25" s="179" t="s">
        <v>37</v>
      </c>
      <c r="K25" s="144"/>
      <c r="L25" s="145"/>
      <c r="M25" s="145">
        <f>(K4-0.04)*2*(K5+K6)</f>
        <v>2.92</v>
      </c>
      <c r="N25" s="138">
        <f t="shared" si="1"/>
        <v>0</v>
      </c>
    </row>
    <row r="26" spans="1:14" ht="14.25">
      <c r="A26" s="174" t="s">
        <v>167</v>
      </c>
      <c r="B26" s="139"/>
      <c r="C26" s="154"/>
      <c r="D26" s="137">
        <f>B5+B6</f>
        <v>1</v>
      </c>
      <c r="E26" s="138">
        <f t="shared" si="0"/>
        <v>0</v>
      </c>
      <c r="J26" s="174" t="s">
        <v>167</v>
      </c>
      <c r="K26" s="139"/>
      <c r="L26" s="154"/>
      <c r="M26" s="137">
        <f>K5+K6</f>
        <v>1</v>
      </c>
      <c r="N26" s="138">
        <f t="shared" si="1"/>
        <v>0</v>
      </c>
    </row>
    <row r="27" spans="1:14" ht="14.25">
      <c r="A27" s="143"/>
      <c r="B27" s="144"/>
      <c r="C27" s="145"/>
      <c r="D27" s="145"/>
      <c r="E27" s="138">
        <f t="shared" si="0"/>
        <v>0</v>
      </c>
      <c r="F27" s="208" t="s">
        <v>216</v>
      </c>
      <c r="G27" s="181"/>
      <c r="H27" s="181"/>
      <c r="I27" s="215"/>
      <c r="J27" s="179" t="s">
        <v>215</v>
      </c>
      <c r="K27" s="144"/>
      <c r="L27" s="145"/>
      <c r="M27" s="145">
        <v>1</v>
      </c>
      <c r="N27" s="138">
        <f t="shared" si="1"/>
        <v>0</v>
      </c>
    </row>
    <row r="28" spans="1:14" ht="15" thickBot="1">
      <c r="A28" s="146" t="s">
        <v>31</v>
      </c>
      <c r="B28" s="147"/>
      <c r="C28" s="156"/>
      <c r="D28" s="148">
        <f>(B3-0.015)*(B5+B6)</f>
        <v>0.985</v>
      </c>
      <c r="E28" s="149">
        <f t="shared" si="0"/>
        <v>0</v>
      </c>
      <c r="J28" s="146" t="s">
        <v>31</v>
      </c>
      <c r="K28" s="147"/>
      <c r="L28" s="156"/>
      <c r="M28" s="148">
        <f>(K3-0.015)*(K5+K6)</f>
        <v>0.985</v>
      </c>
      <c r="N28" s="149">
        <f t="shared" si="1"/>
        <v>0</v>
      </c>
    </row>
    <row r="29" spans="3:5" ht="18">
      <c r="C29" s="157">
        <f>SUM(C12:C28)</f>
        <v>0</v>
      </c>
      <c r="E29" s="158">
        <f>SUM(E11:E28)</f>
        <v>0</v>
      </c>
    </row>
    <row r="35" spans="6:10" ht="11.25">
      <c r="F35" s="214" t="s">
        <v>209</v>
      </c>
      <c r="G35" s="214"/>
      <c r="H35" s="214"/>
      <c r="I35" s="214"/>
      <c r="J35" s="214"/>
    </row>
    <row r="36" spans="6:10" ht="11.25">
      <c r="F36" s="214"/>
      <c r="G36" s="214"/>
      <c r="H36" s="214"/>
      <c r="I36" s="214"/>
      <c r="J36" s="214"/>
    </row>
    <row r="37" spans="6:10" ht="11.25">
      <c r="F37" s="214"/>
      <c r="G37" s="214"/>
      <c r="H37" s="214"/>
      <c r="I37" s="214"/>
      <c r="J37" s="214"/>
    </row>
    <row r="38" spans="6:10" ht="11.25">
      <c r="F38" s="214"/>
      <c r="G38" s="214"/>
      <c r="H38" s="214"/>
      <c r="I38" s="214"/>
      <c r="J38" s="214"/>
    </row>
    <row r="39" spans="6:10" ht="11.25">
      <c r="F39" s="214"/>
      <c r="G39" s="214"/>
      <c r="H39" s="214"/>
      <c r="I39" s="214"/>
      <c r="J39" s="214"/>
    </row>
    <row r="40" spans="6:10" ht="11.25">
      <c r="F40" s="214"/>
      <c r="G40" s="214"/>
      <c r="H40" s="214"/>
      <c r="I40" s="214"/>
      <c r="J40" s="214"/>
    </row>
    <row r="41" spans="6:10" ht="11.25">
      <c r="F41" s="214"/>
      <c r="G41" s="214"/>
      <c r="H41" s="214"/>
      <c r="I41" s="214"/>
      <c r="J41" s="214"/>
    </row>
    <row r="42" spans="6:10" ht="11.25">
      <c r="F42" s="214"/>
      <c r="G42" s="214"/>
      <c r="H42" s="214"/>
      <c r="I42" s="214"/>
      <c r="J42" s="214"/>
    </row>
    <row r="43" spans="6:10" ht="11.25">
      <c r="F43" s="214"/>
      <c r="G43" s="214"/>
      <c r="H43" s="214"/>
      <c r="I43" s="214"/>
      <c r="J43" s="214"/>
    </row>
    <row r="44" spans="6:10" ht="11.25">
      <c r="F44" s="214"/>
      <c r="G44" s="214"/>
      <c r="H44" s="214"/>
      <c r="I44" s="214"/>
      <c r="J44" s="214"/>
    </row>
  </sheetData>
  <sheetProtection/>
  <mergeCells count="7">
    <mergeCell ref="F35:J44"/>
    <mergeCell ref="A1:E1"/>
    <mergeCell ref="J1:N1"/>
    <mergeCell ref="F25:I25"/>
    <mergeCell ref="F24:I24"/>
    <mergeCell ref="F23:I23"/>
    <mergeCell ref="F27:I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S58"/>
  <sheetViews>
    <sheetView zoomScale="115" zoomScaleNormal="115" zoomScalePageLayoutView="0" workbookViewId="0" topLeftCell="A19">
      <selection activeCell="B27" sqref="B27"/>
    </sheetView>
  </sheetViews>
  <sheetFormatPr defaultColWidth="9.33203125" defaultRowHeight="11.25"/>
  <cols>
    <col min="1" max="1" width="53" style="0" bestFit="1" customWidth="1"/>
    <col min="2" max="2" width="8.5" style="0" bestFit="1" customWidth="1"/>
    <col min="3" max="3" width="14.33203125" style="0" customWidth="1"/>
    <col min="4" max="4" width="12" style="0" customWidth="1"/>
    <col min="5" max="5" width="3.83203125" style="0" customWidth="1"/>
  </cols>
  <sheetData>
    <row r="1" spans="1:4" ht="27" thickBot="1">
      <c r="A1" s="233" t="s">
        <v>142</v>
      </c>
      <c r="B1" s="234"/>
      <c r="C1" s="234"/>
      <c r="D1" s="234"/>
    </row>
    <row r="2" spans="1:4" ht="15" thickBot="1">
      <c r="A2" s="230" t="s">
        <v>3</v>
      </c>
      <c r="B2" s="231"/>
      <c r="C2" s="231"/>
      <c r="D2" s="232"/>
    </row>
    <row r="3" spans="1:4" ht="11.25">
      <c r="A3" s="62" t="s">
        <v>6</v>
      </c>
      <c r="B3" s="58">
        <v>1</v>
      </c>
      <c r="C3" s="221" t="s">
        <v>70</v>
      </c>
      <c r="D3" s="222"/>
    </row>
    <row r="4" spans="1:4" ht="11.25">
      <c r="A4" s="63" t="s">
        <v>1</v>
      </c>
      <c r="B4" s="59">
        <v>1</v>
      </c>
      <c r="C4" s="221" t="s">
        <v>70</v>
      </c>
      <c r="D4" s="222"/>
    </row>
    <row r="5" spans="1:4" ht="11.25">
      <c r="A5" s="63" t="s">
        <v>43</v>
      </c>
      <c r="B5" s="60">
        <v>0.7</v>
      </c>
      <c r="C5" s="221" t="s">
        <v>70</v>
      </c>
      <c r="D5" s="222"/>
    </row>
    <row r="6" spans="1:12" ht="11.25">
      <c r="A6" s="63" t="s">
        <v>75</v>
      </c>
      <c r="B6" s="60">
        <v>1</v>
      </c>
      <c r="C6" s="224" t="s">
        <v>149</v>
      </c>
      <c r="D6" s="225"/>
      <c r="F6" s="238" t="s">
        <v>195</v>
      </c>
      <c r="G6" s="238"/>
      <c r="H6" s="238"/>
      <c r="I6" s="238"/>
      <c r="J6" s="238"/>
      <c r="K6" s="238"/>
      <c r="L6" s="238"/>
    </row>
    <row r="7" spans="1:4" ht="11.25">
      <c r="A7" s="63" t="s">
        <v>79</v>
      </c>
      <c r="B7" s="60">
        <v>1</v>
      </c>
      <c r="C7" s="219" t="s">
        <v>80</v>
      </c>
      <c r="D7" s="220"/>
    </row>
    <row r="8" spans="1:4" ht="11.25">
      <c r="A8" s="63" t="s">
        <v>78</v>
      </c>
      <c r="B8" s="59">
        <v>1</v>
      </c>
      <c r="C8" s="221" t="s">
        <v>70</v>
      </c>
      <c r="D8" s="222"/>
    </row>
    <row r="9" spans="1:19" ht="11.25" customHeight="1">
      <c r="A9" s="63" t="s">
        <v>74</v>
      </c>
      <c r="B9" s="60">
        <v>2</v>
      </c>
      <c r="C9" s="224" t="s">
        <v>150</v>
      </c>
      <c r="D9" s="225"/>
      <c r="F9" s="236" t="s">
        <v>196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</row>
    <row r="10" spans="1:4" ht="33.75" customHeight="1">
      <c r="A10" s="71" t="s">
        <v>59</v>
      </c>
      <c r="B10" s="72">
        <v>3</v>
      </c>
      <c r="C10" s="223" t="s">
        <v>151</v>
      </c>
      <c r="D10" s="220"/>
    </row>
    <row r="11" spans="1:4" ht="11.25">
      <c r="A11" s="63" t="s">
        <v>63</v>
      </c>
      <c r="B11" s="61">
        <v>1</v>
      </c>
      <c r="C11" s="219" t="s">
        <v>80</v>
      </c>
      <c r="D11" s="220"/>
    </row>
    <row r="12" spans="1:4" ht="11.25">
      <c r="A12" s="64" t="s">
        <v>64</v>
      </c>
      <c r="B12" s="60">
        <v>0</v>
      </c>
      <c r="C12" s="219" t="s">
        <v>80</v>
      </c>
      <c r="D12" s="220"/>
    </row>
    <row r="13" spans="1:4" ht="12" thickBot="1">
      <c r="A13" s="63" t="s">
        <v>65</v>
      </c>
      <c r="B13" s="65">
        <v>0</v>
      </c>
      <c r="C13" s="219" t="s">
        <v>80</v>
      </c>
      <c r="D13" s="220"/>
    </row>
    <row r="14" spans="1:4" ht="11.25">
      <c r="A14" s="66" t="s">
        <v>152</v>
      </c>
      <c r="B14" s="59">
        <f>CEILING(B3*12.5,1)</f>
        <v>13</v>
      </c>
      <c r="C14" s="226" t="s">
        <v>69</v>
      </c>
      <c r="D14" s="227"/>
    </row>
    <row r="15" spans="1:4" ht="12" thickBot="1">
      <c r="A15" s="67" t="s">
        <v>153</v>
      </c>
      <c r="B15" s="68">
        <v>2</v>
      </c>
      <c r="C15" s="228"/>
      <c r="D15" s="229"/>
    </row>
    <row r="16" ht="12" thickBot="1"/>
    <row r="17" spans="1:4" ht="13.5" thickBot="1">
      <c r="A17" s="76" t="s">
        <v>7</v>
      </c>
      <c r="B17" s="74" t="s">
        <v>0</v>
      </c>
      <c r="C17" s="75" t="s">
        <v>4</v>
      </c>
      <c r="D17" s="74" t="s">
        <v>8</v>
      </c>
    </row>
    <row r="18" spans="1:15" ht="11.25">
      <c r="A18" s="70" t="s">
        <v>42</v>
      </c>
      <c r="B18" s="58">
        <f>IF(B9=2,(B3+B5-0.1)*2,0)*B8</f>
        <v>3.1999999999999997</v>
      </c>
      <c r="C18" s="127"/>
      <c r="D18" s="128">
        <f aca="true" t="shared" si="0" ref="D18:D49">B18*C18</f>
        <v>0</v>
      </c>
      <c r="F18" s="238" t="s">
        <v>199</v>
      </c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ht="11.25">
      <c r="A19" s="73" t="s">
        <v>73</v>
      </c>
      <c r="B19" s="59">
        <f>IF(B9=1,(B3+B5-0.1)*2,0)*B8</f>
        <v>0</v>
      </c>
      <c r="C19" s="129"/>
      <c r="D19" s="130">
        <f t="shared" si="0"/>
        <v>0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4" ht="11.25">
      <c r="A20" s="73" t="s">
        <v>166</v>
      </c>
      <c r="B20" s="59">
        <f>B8</f>
        <v>1</v>
      </c>
      <c r="C20" s="129"/>
      <c r="D20" s="130">
        <f t="shared" si="0"/>
        <v>0</v>
      </c>
    </row>
    <row r="21" spans="1:4" ht="11.25">
      <c r="A21" s="77" t="s">
        <v>44</v>
      </c>
      <c r="B21" s="59">
        <f>1*B8</f>
        <v>1</v>
      </c>
      <c r="C21" s="129"/>
      <c r="D21" s="130">
        <f t="shared" si="0"/>
        <v>0</v>
      </c>
    </row>
    <row r="22" spans="1:4" ht="11.25">
      <c r="A22" s="78" t="s">
        <v>45</v>
      </c>
      <c r="B22" s="69">
        <f>IF(B6=1,B14,0)*B8</f>
        <v>13</v>
      </c>
      <c r="C22" s="131"/>
      <c r="D22" s="132">
        <f t="shared" si="0"/>
        <v>0</v>
      </c>
    </row>
    <row r="23" spans="1:4" ht="11.25">
      <c r="A23" s="79" t="s">
        <v>46</v>
      </c>
      <c r="B23" s="69">
        <f>IF(B6=1,B14,0)*B8</f>
        <v>13</v>
      </c>
      <c r="C23" s="131"/>
      <c r="D23" s="132">
        <f t="shared" si="0"/>
        <v>0</v>
      </c>
    </row>
    <row r="24" spans="1:4" ht="11.25">
      <c r="A24" s="79" t="s">
        <v>47</v>
      </c>
      <c r="B24" s="69">
        <f>IF(B9=2,1,0)*B8</f>
        <v>1</v>
      </c>
      <c r="C24" s="131"/>
      <c r="D24" s="132">
        <f t="shared" si="0"/>
        <v>0</v>
      </c>
    </row>
    <row r="25" spans="1:4" ht="11.25">
      <c r="A25" s="79" t="s">
        <v>11</v>
      </c>
      <c r="B25" s="69">
        <f>IF(B9=1,1,0)*B8</f>
        <v>0</v>
      </c>
      <c r="C25" s="131"/>
      <c r="D25" s="132">
        <f t="shared" si="0"/>
        <v>0</v>
      </c>
    </row>
    <row r="26" spans="1:4" ht="11.25">
      <c r="A26" s="79" t="s">
        <v>48</v>
      </c>
      <c r="B26" s="69">
        <f>1*B8</f>
        <v>1</v>
      </c>
      <c r="C26" s="131"/>
      <c r="D26" s="132">
        <f t="shared" si="0"/>
        <v>0</v>
      </c>
    </row>
    <row r="27" spans="1:18" ht="11.25">
      <c r="A27" s="78" t="s">
        <v>49</v>
      </c>
      <c r="B27" s="69">
        <f>IF(B10&gt;2,B14/2,IF(B10=2,B14,0))*B8</f>
        <v>6.5</v>
      </c>
      <c r="C27" s="131"/>
      <c r="D27" s="132">
        <f t="shared" si="0"/>
        <v>0</v>
      </c>
      <c r="E27" s="235" t="s">
        <v>193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167"/>
    </row>
    <row r="28" spans="1:18" ht="11.25">
      <c r="A28" s="78" t="s">
        <v>62</v>
      </c>
      <c r="B28" s="69">
        <f>IF(B10&gt;2,B14/2,IF(B10=1,B14,0))*B8</f>
        <v>6.5</v>
      </c>
      <c r="C28" s="131"/>
      <c r="D28" s="132">
        <f t="shared" si="0"/>
        <v>0</v>
      </c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167"/>
    </row>
    <row r="29" spans="1:4" ht="11.25">
      <c r="A29" s="78" t="s">
        <v>41</v>
      </c>
      <c r="B29" s="69">
        <f>IF(B11&lt;&gt;1,B15,0)*B8</f>
        <v>0</v>
      </c>
      <c r="C29" s="131"/>
      <c r="D29" s="132">
        <v>0</v>
      </c>
    </row>
    <row r="30" spans="1:4" ht="11.25">
      <c r="A30" s="79" t="s">
        <v>50</v>
      </c>
      <c r="B30" s="69">
        <f>IF(B11&lt;&gt;1,B15,0)*B8</f>
        <v>0</v>
      </c>
      <c r="C30" s="131"/>
      <c r="D30" s="132">
        <f t="shared" si="0"/>
        <v>0</v>
      </c>
    </row>
    <row r="31" spans="1:4" ht="11.25">
      <c r="A31" s="79" t="s">
        <v>66</v>
      </c>
      <c r="B31" s="69">
        <f>IF(B11&lt;&gt;0,B15,0)*B8</f>
        <v>2</v>
      </c>
      <c r="C31" s="131"/>
      <c r="D31" s="132">
        <f t="shared" si="0"/>
        <v>0</v>
      </c>
    </row>
    <row r="32" spans="1:4" ht="11.25">
      <c r="A32" s="79" t="s">
        <v>64</v>
      </c>
      <c r="B32" s="69">
        <f>IF(B12=0,0,B15)*B8</f>
        <v>0</v>
      </c>
      <c r="C32" s="131"/>
      <c r="D32" s="132">
        <f t="shared" si="0"/>
        <v>0</v>
      </c>
    </row>
    <row r="33" spans="1:4" ht="11.25">
      <c r="A33" s="79" t="s">
        <v>67</v>
      </c>
      <c r="B33" s="69">
        <v>0</v>
      </c>
      <c r="C33" s="131"/>
      <c r="D33" s="132">
        <f t="shared" si="0"/>
        <v>0</v>
      </c>
    </row>
    <row r="34" spans="1:4" ht="11.25">
      <c r="A34" s="79" t="s">
        <v>51</v>
      </c>
      <c r="B34" s="69">
        <f>1*B8</f>
        <v>1</v>
      </c>
      <c r="C34" s="131"/>
      <c r="D34" s="132">
        <f t="shared" si="0"/>
        <v>0</v>
      </c>
    </row>
    <row r="35" spans="1:4" ht="11.25">
      <c r="A35" s="79" t="s">
        <v>52</v>
      </c>
      <c r="B35" s="69">
        <f>(B3-0.02)*B8</f>
        <v>0.98</v>
      </c>
      <c r="C35" s="131"/>
      <c r="D35" s="132">
        <f t="shared" si="0"/>
        <v>0</v>
      </c>
    </row>
    <row r="36" spans="1:4" ht="11.25">
      <c r="A36" s="78" t="s">
        <v>53</v>
      </c>
      <c r="B36" s="69">
        <f>1*B8</f>
        <v>1</v>
      </c>
      <c r="C36" s="131"/>
      <c r="D36" s="132">
        <f t="shared" si="0"/>
        <v>0</v>
      </c>
    </row>
    <row r="37" spans="1:4" ht="11.25">
      <c r="A37" s="79" t="s">
        <v>54</v>
      </c>
      <c r="B37" s="69">
        <f>(B3-0.035)*B8</f>
        <v>0.965</v>
      </c>
      <c r="C37" s="131"/>
      <c r="D37" s="132">
        <f t="shared" si="0"/>
        <v>0</v>
      </c>
    </row>
    <row r="38" spans="1:17" ht="11.25">
      <c r="A38" s="79" t="s">
        <v>68</v>
      </c>
      <c r="B38" s="69">
        <f>IF(B10=3,1,0)*B8</f>
        <v>1</v>
      </c>
      <c r="C38" s="131"/>
      <c r="D38" s="132">
        <f t="shared" si="0"/>
        <v>0</v>
      </c>
      <c r="F38" s="238" t="s">
        <v>197</v>
      </c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</row>
    <row r="39" spans="1:17" ht="11.25">
      <c r="A39" s="79" t="s">
        <v>55</v>
      </c>
      <c r="B39" s="69">
        <f>IF(B10=1,1,0)*B8</f>
        <v>0</v>
      </c>
      <c r="C39" s="131"/>
      <c r="D39" s="132">
        <f t="shared" si="0"/>
        <v>0</v>
      </c>
      <c r="F39" s="238" t="s">
        <v>198</v>
      </c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</row>
    <row r="40" spans="1:4" ht="11.25">
      <c r="A40" s="79" t="s">
        <v>56</v>
      </c>
      <c r="B40" s="69">
        <f>3*B8</f>
        <v>3</v>
      </c>
      <c r="C40" s="131"/>
      <c r="D40" s="132">
        <f t="shared" si="0"/>
        <v>0</v>
      </c>
    </row>
    <row r="41" spans="1:4" ht="11.25">
      <c r="A41" s="79" t="s">
        <v>57</v>
      </c>
      <c r="B41" s="69">
        <f>IF(B3&lt;1.2,0,IF(B10=1,1,0))*B8</f>
        <v>0</v>
      </c>
      <c r="C41" s="131"/>
      <c r="D41" s="132">
        <f t="shared" si="0"/>
        <v>0</v>
      </c>
    </row>
    <row r="42" spans="1:4" ht="11.25">
      <c r="A42" s="79" t="s">
        <v>65</v>
      </c>
      <c r="B42" s="69">
        <f>IF(B13=1,B15,0)*B8</f>
        <v>0</v>
      </c>
      <c r="C42" s="131"/>
      <c r="D42" s="132">
        <f t="shared" si="0"/>
        <v>0</v>
      </c>
    </row>
    <row r="43" spans="1:4" ht="11.25">
      <c r="A43" s="79" t="s">
        <v>58</v>
      </c>
      <c r="B43" s="69">
        <f>IF(B10=1,1,2)*B8</f>
        <v>2</v>
      </c>
      <c r="C43" s="131"/>
      <c r="D43" s="132">
        <f t="shared" si="0"/>
        <v>0</v>
      </c>
    </row>
    <row r="44" spans="1:17" ht="11.25">
      <c r="A44" s="79" t="s">
        <v>60</v>
      </c>
      <c r="B44" s="69">
        <f>IF(B6=1,IF(B9=2,(B14+1)*2*0.105,0),0)*B8</f>
        <v>2.94</v>
      </c>
      <c r="C44" s="131"/>
      <c r="D44" s="132">
        <f t="shared" si="0"/>
        <v>0</v>
      </c>
      <c r="E44" s="235" t="s">
        <v>194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4" ht="11.25">
      <c r="A45" s="79" t="s">
        <v>71</v>
      </c>
      <c r="B45" s="69">
        <f>IF(B6=1,IF(B9=1,(B14+1)*2*0.105,0),0)*B8</f>
        <v>0</v>
      </c>
      <c r="C45" s="131"/>
      <c r="D45" s="132">
        <f t="shared" si="0"/>
        <v>0</v>
      </c>
    </row>
    <row r="46" spans="1:4" ht="11.25">
      <c r="A46" s="79" t="s">
        <v>76</v>
      </c>
      <c r="B46" s="69">
        <f>IF(B6=2,IF(B9=1,B3*1.3,0),0)*B8</f>
        <v>0</v>
      </c>
      <c r="C46" s="131"/>
      <c r="D46" s="132">
        <f t="shared" si="0"/>
        <v>0</v>
      </c>
    </row>
    <row r="47" spans="1:4" ht="11.25">
      <c r="A47" s="79" t="s">
        <v>77</v>
      </c>
      <c r="B47" s="69">
        <f>IF(B6=2,IF(B9=2,B3*1.3,0),0)*B8</f>
        <v>0</v>
      </c>
      <c r="C47" s="131"/>
      <c r="D47" s="132">
        <f t="shared" si="0"/>
        <v>0</v>
      </c>
    </row>
    <row r="48" spans="1:16" ht="11.25">
      <c r="A48" s="73" t="s">
        <v>61</v>
      </c>
      <c r="B48" s="59">
        <f>IF(B9=2,B3*2,0)*B8</f>
        <v>2</v>
      </c>
      <c r="C48" s="129"/>
      <c r="D48" s="132">
        <f t="shared" si="0"/>
        <v>0</v>
      </c>
      <c r="E48" s="237" t="s">
        <v>194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1:4" ht="11.25">
      <c r="A49" s="73" t="s">
        <v>72</v>
      </c>
      <c r="B49" s="59">
        <f>IF(B9=1,B3*2,0)*B8</f>
        <v>0</v>
      </c>
      <c r="C49" s="129"/>
      <c r="D49" s="132">
        <f t="shared" si="0"/>
        <v>0</v>
      </c>
    </row>
    <row r="50" spans="1:4" ht="12" thickBot="1">
      <c r="A50" s="80"/>
      <c r="B50" s="3" t="s">
        <v>9</v>
      </c>
      <c r="C50" s="133">
        <f>SUM(C18:C49)</f>
        <v>0</v>
      </c>
      <c r="D50" s="133">
        <f>SUM(D18:D49)</f>
        <v>0</v>
      </c>
    </row>
    <row r="51" spans="1:3" ht="12" thickBot="1">
      <c r="A51" s="3"/>
      <c r="B51" s="3"/>
      <c r="C51" s="3"/>
    </row>
    <row r="52" spans="1:4" ht="12" thickBot="1">
      <c r="A52" s="216" t="s">
        <v>34</v>
      </c>
      <c r="B52" s="217"/>
      <c r="C52" s="217"/>
      <c r="D52" s="218"/>
    </row>
    <row r="53" spans="1:14" ht="11.25">
      <c r="A53" s="81" t="s">
        <v>144</v>
      </c>
      <c r="B53" s="87">
        <f>IF(B7=1,(B3+0.01+0.03)*B8,0)</f>
        <v>1.04</v>
      </c>
      <c r="C53" s="82">
        <v>100</v>
      </c>
      <c r="D53" s="83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11.25">
      <c r="A54" s="84" t="s">
        <v>145</v>
      </c>
      <c r="B54" s="88">
        <f>IF(B3&lt;0.71,2,IF(B3&lt;1.41,3,IF(B3&lt;2.11,4,IF(B3&lt;2.81,5,IF(B3&lt;3.51,6,IF(B3&lt;4.21,7,8))))))*B8</f>
        <v>3</v>
      </c>
      <c r="C54" s="57">
        <v>25</v>
      </c>
      <c r="D54" s="4"/>
      <c r="F54" s="181"/>
      <c r="G54" s="181"/>
      <c r="H54" s="181"/>
      <c r="I54" s="181"/>
      <c r="J54" s="181"/>
      <c r="K54" s="181"/>
      <c r="L54" s="181"/>
      <c r="M54" s="181"/>
      <c r="N54" s="181"/>
    </row>
    <row r="55" spans="1:14" ht="11.25">
      <c r="A55" s="84" t="s">
        <v>146</v>
      </c>
      <c r="B55" s="88">
        <f>2*B8</f>
        <v>2</v>
      </c>
      <c r="C55" s="57">
        <v>37.5</v>
      </c>
      <c r="D55" s="4"/>
      <c r="F55" s="181"/>
      <c r="G55" s="181"/>
      <c r="H55" s="181"/>
      <c r="I55" s="181"/>
      <c r="J55" s="181"/>
      <c r="K55" s="181"/>
      <c r="L55" s="181"/>
      <c r="M55" s="181"/>
      <c r="N55" s="181"/>
    </row>
    <row r="56" spans="1:4" ht="11.25">
      <c r="A56" s="84" t="s">
        <v>147</v>
      </c>
      <c r="B56" s="88">
        <f>B14*B8</f>
        <v>13</v>
      </c>
      <c r="C56" s="57"/>
      <c r="D56" s="4"/>
    </row>
    <row r="57" spans="1:4" ht="12" thickBot="1">
      <c r="A57" s="85" t="s">
        <v>148</v>
      </c>
      <c r="B57" s="89">
        <f>B14*B8</f>
        <v>13</v>
      </c>
      <c r="C57" s="86"/>
      <c r="D57" s="5"/>
    </row>
    <row r="58" ht="11.25">
      <c r="B58" s="1"/>
    </row>
  </sheetData>
  <sheetProtection/>
  <mergeCells count="24">
    <mergeCell ref="F53:N55"/>
    <mergeCell ref="E44:Q44"/>
    <mergeCell ref="E48:P48"/>
    <mergeCell ref="F6:L6"/>
    <mergeCell ref="F9:S9"/>
    <mergeCell ref="F38:Q38"/>
    <mergeCell ref="F39:Q39"/>
    <mergeCell ref="F18:O18"/>
    <mergeCell ref="C8:D8"/>
    <mergeCell ref="A2:D2"/>
    <mergeCell ref="A1:D1"/>
    <mergeCell ref="C3:D3"/>
    <mergeCell ref="C4:D4"/>
    <mergeCell ref="E27:Q28"/>
    <mergeCell ref="A52:D52"/>
    <mergeCell ref="C7:D7"/>
    <mergeCell ref="C5:D5"/>
    <mergeCell ref="C10:D10"/>
    <mergeCell ref="C11:D11"/>
    <mergeCell ref="C9:D9"/>
    <mergeCell ref="C6:D6"/>
    <mergeCell ref="C14:D15"/>
    <mergeCell ref="C12:D12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zoomScalePageLayoutView="0" workbookViewId="0" topLeftCell="A1">
      <selection activeCell="C21" sqref="C21"/>
    </sheetView>
  </sheetViews>
  <sheetFormatPr defaultColWidth="9.33203125" defaultRowHeight="11.25"/>
  <cols>
    <col min="1" max="1" width="53" style="0" bestFit="1" customWidth="1"/>
    <col min="2" max="2" width="10" style="0" bestFit="1" customWidth="1"/>
    <col min="3" max="3" width="8.5" style="0" bestFit="1" customWidth="1"/>
    <col min="4" max="4" width="7.33203125" style="0" customWidth="1"/>
    <col min="5" max="5" width="20.66015625" style="0" customWidth="1"/>
    <col min="6" max="6" width="3.83203125" style="0" customWidth="1"/>
    <col min="14" max="14" width="30" style="0" customWidth="1"/>
  </cols>
  <sheetData>
    <row r="1" spans="1:5" ht="27" thickBot="1">
      <c r="A1" s="233" t="s">
        <v>141</v>
      </c>
      <c r="B1" s="234"/>
      <c r="C1" s="234"/>
      <c r="D1" s="234"/>
      <c r="E1" s="239"/>
    </row>
    <row r="2" spans="1:5" ht="15" thickBot="1">
      <c r="A2" s="240" t="s">
        <v>3</v>
      </c>
      <c r="B2" s="241"/>
      <c r="C2" s="241"/>
      <c r="D2" s="241"/>
      <c r="E2" s="242"/>
    </row>
    <row r="3" spans="1:5" ht="11.25">
      <c r="A3" s="62" t="s">
        <v>6</v>
      </c>
      <c r="B3" s="58">
        <v>1</v>
      </c>
      <c r="C3" s="243" t="s">
        <v>70</v>
      </c>
      <c r="D3" s="244"/>
      <c r="E3" s="245"/>
    </row>
    <row r="4" spans="1:5" ht="11.25">
      <c r="A4" s="63" t="s">
        <v>1</v>
      </c>
      <c r="B4" s="59">
        <v>1</v>
      </c>
      <c r="C4" s="246" t="s">
        <v>70</v>
      </c>
      <c r="D4" s="192"/>
      <c r="E4" s="193"/>
    </row>
    <row r="5" spans="1:14" ht="11.25">
      <c r="A5" s="63" t="s">
        <v>86</v>
      </c>
      <c r="B5" s="59">
        <v>1</v>
      </c>
      <c r="C5" s="247" t="s">
        <v>218</v>
      </c>
      <c r="D5" s="248"/>
      <c r="E5" s="249"/>
      <c r="G5" s="238"/>
      <c r="H5" s="238"/>
      <c r="I5" s="238"/>
      <c r="J5" s="238"/>
      <c r="K5" s="238"/>
      <c r="L5" s="238"/>
      <c r="M5" s="238"/>
      <c r="N5" s="238"/>
    </row>
    <row r="6" spans="1:5" ht="11.25">
      <c r="A6" s="63" t="s">
        <v>43</v>
      </c>
      <c r="B6" s="60">
        <v>0</v>
      </c>
      <c r="C6" s="247" t="s">
        <v>143</v>
      </c>
      <c r="D6" s="248"/>
      <c r="E6" s="249"/>
    </row>
    <row r="7" spans="1:5" ht="11.25">
      <c r="A7" s="63" t="s">
        <v>81</v>
      </c>
      <c r="B7" s="60">
        <v>0</v>
      </c>
      <c r="C7" s="247" t="s">
        <v>83</v>
      </c>
      <c r="D7" s="250"/>
      <c r="E7" s="251"/>
    </row>
    <row r="8" spans="1:13" ht="11.25">
      <c r="A8" s="63" t="s">
        <v>87</v>
      </c>
      <c r="B8" s="60">
        <v>1</v>
      </c>
      <c r="C8" s="247" t="s">
        <v>83</v>
      </c>
      <c r="D8" s="250"/>
      <c r="E8" s="251"/>
      <c r="G8" s="181"/>
      <c r="H8" s="181"/>
      <c r="I8" s="181"/>
      <c r="J8" s="181"/>
      <c r="K8" s="181"/>
      <c r="L8" s="181"/>
      <c r="M8" s="181"/>
    </row>
    <row r="9" spans="1:16" ht="24" customHeight="1">
      <c r="A9" s="71" t="s">
        <v>82</v>
      </c>
      <c r="B9" s="99">
        <v>1</v>
      </c>
      <c r="C9" s="223" t="s">
        <v>84</v>
      </c>
      <c r="D9" s="255"/>
      <c r="E9" s="220"/>
      <c r="I9" s="256" t="s">
        <v>200</v>
      </c>
      <c r="J9" s="256"/>
      <c r="K9" s="256"/>
      <c r="L9" s="256"/>
      <c r="M9" s="256"/>
      <c r="N9" s="256"/>
      <c r="O9" s="256"/>
      <c r="P9" s="256"/>
    </row>
    <row r="10" spans="1:16" ht="12" thickBot="1">
      <c r="A10" s="97" t="s">
        <v>108</v>
      </c>
      <c r="B10" s="98">
        <v>1</v>
      </c>
      <c r="C10" s="252" t="s">
        <v>70</v>
      </c>
      <c r="D10" s="253"/>
      <c r="E10" s="254"/>
      <c r="I10" s="256"/>
      <c r="J10" s="256"/>
      <c r="K10" s="256"/>
      <c r="L10" s="256"/>
      <c r="M10" s="256"/>
      <c r="N10" s="256"/>
      <c r="O10" s="256"/>
      <c r="P10" s="256"/>
    </row>
    <row r="11" spans="9:16" ht="12" thickBot="1">
      <c r="I11" s="256"/>
      <c r="J11" s="256"/>
      <c r="K11" s="256"/>
      <c r="L11" s="256"/>
      <c r="M11" s="256"/>
      <c r="N11" s="256"/>
      <c r="O11" s="256"/>
      <c r="P11" s="256"/>
    </row>
    <row r="12" spans="1:16" ht="12.75">
      <c r="A12" s="91" t="s">
        <v>7</v>
      </c>
      <c r="B12" s="110" t="s">
        <v>110</v>
      </c>
      <c r="C12" s="110" t="s">
        <v>0</v>
      </c>
      <c r="D12" s="92" t="s">
        <v>4</v>
      </c>
      <c r="E12" s="93" t="s">
        <v>8</v>
      </c>
      <c r="I12" s="256"/>
      <c r="J12" s="256"/>
      <c r="K12" s="256"/>
      <c r="L12" s="256"/>
      <c r="M12" s="256"/>
      <c r="N12" s="256"/>
      <c r="O12" s="256"/>
      <c r="P12" s="256"/>
    </row>
    <row r="13" spans="1:16" ht="11.25">
      <c r="A13" s="168" t="s">
        <v>107</v>
      </c>
      <c r="B13" s="57"/>
      <c r="C13" s="88">
        <f>(IF(B6=0,B4*1.5,B6*2))*B10</f>
        <v>1.5</v>
      </c>
      <c r="D13" s="57"/>
      <c r="E13" s="4">
        <f>C13*D13</f>
        <v>0</v>
      </c>
      <c r="I13" s="256"/>
      <c r="J13" s="256"/>
      <c r="K13" s="256"/>
      <c r="L13" s="256"/>
      <c r="M13" s="256"/>
      <c r="N13" s="256"/>
      <c r="O13" s="256"/>
      <c r="P13" s="256"/>
    </row>
    <row r="14" spans="1:5" ht="11.25">
      <c r="A14" s="169" t="s">
        <v>106</v>
      </c>
      <c r="B14" s="57"/>
      <c r="C14" s="88">
        <f>1*B10</f>
        <v>1</v>
      </c>
      <c r="D14" s="57"/>
      <c r="E14" s="4">
        <f aca="true" t="shared" si="0" ref="E14:E33">C14*D14</f>
        <v>0</v>
      </c>
    </row>
    <row r="15" spans="1:15" ht="11.25">
      <c r="A15" s="36" t="s">
        <v>105</v>
      </c>
      <c r="B15" s="57"/>
      <c r="C15" s="103">
        <f>1*B10</f>
        <v>1</v>
      </c>
      <c r="D15" s="90"/>
      <c r="E15" s="94">
        <f t="shared" si="0"/>
        <v>0</v>
      </c>
      <c r="H15" s="236" t="s">
        <v>209</v>
      </c>
      <c r="I15" s="236"/>
      <c r="J15" s="236"/>
      <c r="K15" s="236"/>
      <c r="L15" s="236"/>
      <c r="M15" s="236"/>
      <c r="N15" s="236"/>
      <c r="O15" s="236"/>
    </row>
    <row r="16" spans="1:15" ht="11.25">
      <c r="A16" s="36" t="s">
        <v>104</v>
      </c>
      <c r="B16" s="57"/>
      <c r="C16" s="103">
        <f>(IF(B5=2,B3-0.03,IF(B4&lt;1,B3,IF(B4&lt;1.5,B3+0.005,IF(B4&lt;1.8,B3+0.008,IF(B4&gt;=1.8,B3+0.01))))))*B10</f>
        <v>1.005</v>
      </c>
      <c r="D16" s="90"/>
      <c r="E16" s="94">
        <f t="shared" si="0"/>
        <v>0</v>
      </c>
      <c r="H16" s="236"/>
      <c r="I16" s="236"/>
      <c r="J16" s="236"/>
      <c r="K16" s="236"/>
      <c r="L16" s="236"/>
      <c r="M16" s="236"/>
      <c r="N16" s="236"/>
      <c r="O16" s="236"/>
    </row>
    <row r="17" spans="1:15" ht="11.25">
      <c r="A17" s="168" t="s">
        <v>103</v>
      </c>
      <c r="B17" s="57"/>
      <c r="C17" s="103">
        <f>2*B10</f>
        <v>2</v>
      </c>
      <c r="D17" s="90"/>
      <c r="E17" s="94">
        <f t="shared" si="0"/>
        <v>0</v>
      </c>
      <c r="H17" s="236"/>
      <c r="I17" s="236"/>
      <c r="J17" s="236"/>
      <c r="K17" s="236"/>
      <c r="L17" s="236"/>
      <c r="M17" s="236"/>
      <c r="N17" s="236"/>
      <c r="O17" s="236"/>
    </row>
    <row r="18" spans="1:15" ht="11.25">
      <c r="A18" s="169" t="s">
        <v>102</v>
      </c>
      <c r="B18" s="57"/>
      <c r="C18" s="103">
        <f>(IF(B5=1,B3,IF(B4&lt;1,B3-0.03,IF(B4&lt;1.5,B3-0.035,IF(B4&lt;1.8,B3-0.038,IF(B4&gt;=1.8,B3-0.04))))))*B10</f>
        <v>1</v>
      </c>
      <c r="D18" s="90"/>
      <c r="E18" s="94">
        <f t="shared" si="0"/>
        <v>0</v>
      </c>
      <c r="H18" s="236"/>
      <c r="I18" s="236"/>
      <c r="J18" s="236"/>
      <c r="K18" s="236"/>
      <c r="L18" s="236"/>
      <c r="M18" s="236"/>
      <c r="N18" s="236"/>
      <c r="O18" s="236"/>
    </row>
    <row r="19" spans="1:15" ht="11.25">
      <c r="A19" s="36" t="s">
        <v>101</v>
      </c>
      <c r="B19" s="57"/>
      <c r="C19" s="103">
        <f>C16</f>
        <v>1.005</v>
      </c>
      <c r="D19" s="90"/>
      <c r="E19" s="94">
        <f t="shared" si="0"/>
        <v>0</v>
      </c>
      <c r="H19" s="236"/>
      <c r="I19" s="236"/>
      <c r="J19" s="236"/>
      <c r="K19" s="236"/>
      <c r="L19" s="236"/>
      <c r="M19" s="236"/>
      <c r="N19" s="236"/>
      <c r="O19" s="236"/>
    </row>
    <row r="20" spans="1:15" ht="11.25">
      <c r="A20" s="36" t="s">
        <v>100</v>
      </c>
      <c r="B20" s="57"/>
      <c r="C20" s="103">
        <f>C18</f>
        <v>1</v>
      </c>
      <c r="D20" s="90"/>
      <c r="E20" s="94">
        <f t="shared" si="0"/>
        <v>0</v>
      </c>
      <c r="H20" s="236"/>
      <c r="I20" s="236"/>
      <c r="J20" s="236"/>
      <c r="K20" s="236"/>
      <c r="L20" s="236"/>
      <c r="M20" s="236"/>
      <c r="N20" s="236"/>
      <c r="O20" s="236"/>
    </row>
    <row r="21" spans="1:15" ht="11.25">
      <c r="A21" s="169"/>
      <c r="B21" s="57"/>
      <c r="C21" s="103">
        <f>C18</f>
        <v>1</v>
      </c>
      <c r="D21" s="90"/>
      <c r="E21" s="94">
        <f t="shared" si="0"/>
        <v>0</v>
      </c>
      <c r="H21" s="236"/>
      <c r="I21" s="236"/>
      <c r="J21" s="236"/>
      <c r="K21" s="236"/>
      <c r="L21" s="236"/>
      <c r="M21" s="236"/>
      <c r="N21" s="236"/>
      <c r="O21" s="236"/>
    </row>
    <row r="22" spans="1:15" ht="11.25">
      <c r="A22" s="169" t="s">
        <v>88</v>
      </c>
      <c r="B22" s="57"/>
      <c r="C22" s="103">
        <f>2*B10</f>
        <v>2</v>
      </c>
      <c r="D22" s="90"/>
      <c r="E22" s="94">
        <f t="shared" si="0"/>
        <v>0</v>
      </c>
      <c r="H22" s="236"/>
      <c r="I22" s="236"/>
      <c r="J22" s="236"/>
      <c r="K22" s="236"/>
      <c r="L22" s="236"/>
      <c r="M22" s="236"/>
      <c r="N22" s="236"/>
      <c r="O22" s="236"/>
    </row>
    <row r="23" spans="1:15" ht="11.25">
      <c r="A23" s="170" t="s">
        <v>89</v>
      </c>
      <c r="B23" s="57"/>
      <c r="C23" s="103">
        <f>1*B10</f>
        <v>1</v>
      </c>
      <c r="D23" s="90"/>
      <c r="E23" s="94">
        <f t="shared" si="0"/>
        <v>0</v>
      </c>
      <c r="H23" s="236"/>
      <c r="I23" s="236"/>
      <c r="J23" s="236"/>
      <c r="K23" s="236"/>
      <c r="L23" s="236"/>
      <c r="M23" s="236"/>
      <c r="N23" s="236"/>
      <c r="O23" s="236"/>
    </row>
    <row r="24" spans="1:15" ht="11.25">
      <c r="A24" s="111" t="s">
        <v>90</v>
      </c>
      <c r="B24" s="57"/>
      <c r="C24" s="103">
        <f>(IF(B7=1,B4*2+0.2,0))*B10</f>
        <v>0</v>
      </c>
      <c r="D24" s="90"/>
      <c r="E24" s="94">
        <f t="shared" si="0"/>
        <v>0</v>
      </c>
      <c r="H24" s="236"/>
      <c r="I24" s="236"/>
      <c r="J24" s="236"/>
      <c r="K24" s="236"/>
      <c r="L24" s="236"/>
      <c r="M24" s="236"/>
      <c r="N24" s="236"/>
      <c r="O24" s="236"/>
    </row>
    <row r="25" spans="1:15" ht="11.25">
      <c r="A25" s="112" t="s">
        <v>91</v>
      </c>
      <c r="B25" s="57"/>
      <c r="C25" s="103">
        <f>(IF(B7=1,2,0))*B10</f>
        <v>0</v>
      </c>
      <c r="D25" s="90"/>
      <c r="E25" s="94">
        <f t="shared" si="0"/>
        <v>0</v>
      </c>
      <c r="H25" s="236"/>
      <c r="I25" s="236"/>
      <c r="J25" s="236"/>
      <c r="K25" s="236"/>
      <c r="L25" s="236"/>
      <c r="M25" s="236"/>
      <c r="N25" s="236"/>
      <c r="O25" s="236"/>
    </row>
    <row r="26" spans="1:15" ht="11.25">
      <c r="A26" s="171" t="s">
        <v>92</v>
      </c>
      <c r="B26" s="57"/>
      <c r="C26" s="103">
        <f>1*B10</f>
        <v>1</v>
      </c>
      <c r="D26" s="90"/>
      <c r="E26" s="94">
        <f t="shared" si="0"/>
        <v>0</v>
      </c>
      <c r="H26" s="236"/>
      <c r="I26" s="236"/>
      <c r="J26" s="236"/>
      <c r="K26" s="236"/>
      <c r="L26" s="236"/>
      <c r="M26" s="236"/>
      <c r="N26" s="236"/>
      <c r="O26" s="236"/>
    </row>
    <row r="27" spans="1:15" ht="11.25">
      <c r="A27" s="171" t="s">
        <v>93</v>
      </c>
      <c r="B27" s="57"/>
      <c r="C27" s="103">
        <f>(IF(B9=3,2,0))*B10</f>
        <v>0</v>
      </c>
      <c r="D27" s="90"/>
      <c r="E27" s="94">
        <f t="shared" si="0"/>
        <v>0</v>
      </c>
      <c r="H27" s="236"/>
      <c r="I27" s="236"/>
      <c r="J27" s="236"/>
      <c r="K27" s="236"/>
      <c r="L27" s="236"/>
      <c r="M27" s="236"/>
      <c r="N27" s="236"/>
      <c r="O27" s="236"/>
    </row>
    <row r="28" spans="1:15" ht="11.25">
      <c r="A28" s="171" t="s">
        <v>94</v>
      </c>
      <c r="B28" s="57"/>
      <c r="C28" s="103">
        <f>(IF(B7=1,2,0))*B10</f>
        <v>0</v>
      </c>
      <c r="D28" s="90"/>
      <c r="E28" s="94">
        <f t="shared" si="0"/>
        <v>0</v>
      </c>
      <c r="H28" s="236"/>
      <c r="I28" s="236"/>
      <c r="J28" s="236"/>
      <c r="K28" s="236"/>
      <c r="L28" s="236"/>
      <c r="M28" s="236"/>
      <c r="N28" s="236"/>
      <c r="O28" s="236"/>
    </row>
    <row r="29" spans="1:5" ht="11.25">
      <c r="A29" s="171" t="s">
        <v>95</v>
      </c>
      <c r="B29" s="57"/>
      <c r="C29" s="103">
        <f>(IF(B9=2,2,0))*B10</f>
        <v>0</v>
      </c>
      <c r="D29" s="90"/>
      <c r="E29" s="94">
        <f t="shared" si="0"/>
        <v>0</v>
      </c>
    </row>
    <row r="30" spans="1:5" ht="11.25">
      <c r="A30" s="112" t="s">
        <v>96</v>
      </c>
      <c r="B30" s="57"/>
      <c r="C30" s="103">
        <f>(IF(B9=2,2,0))*B10</f>
        <v>0</v>
      </c>
      <c r="D30" s="90"/>
      <c r="E30" s="94">
        <f t="shared" si="0"/>
        <v>0</v>
      </c>
    </row>
    <row r="31" spans="1:5" ht="11.25">
      <c r="A31" s="112" t="s">
        <v>97</v>
      </c>
      <c r="B31" s="57"/>
      <c r="C31" s="103">
        <f>(IF(B8=1,2,0))*B10</f>
        <v>2</v>
      </c>
      <c r="D31" s="90"/>
      <c r="E31" s="94">
        <f t="shared" si="0"/>
        <v>0</v>
      </c>
    </row>
    <row r="32" spans="1:5" ht="11.25">
      <c r="A32" s="112" t="s">
        <v>98</v>
      </c>
      <c r="B32" s="57"/>
      <c r="C32" s="103">
        <f>(IF(B8=1,2,0))*B10</f>
        <v>2</v>
      </c>
      <c r="D32" s="90"/>
      <c r="E32" s="94">
        <f t="shared" si="0"/>
        <v>0</v>
      </c>
    </row>
    <row r="33" spans="1:5" ht="12" thickBot="1">
      <c r="A33" s="85" t="s">
        <v>99</v>
      </c>
      <c r="B33" s="86"/>
      <c r="C33" s="113">
        <f>(IF(B8=1,0.02,0))*B10</f>
        <v>0.02</v>
      </c>
      <c r="D33" s="95"/>
      <c r="E33" s="96">
        <f t="shared" si="0"/>
        <v>0</v>
      </c>
    </row>
    <row r="34" spans="4:5" ht="11.25">
      <c r="D34" s="3" t="s">
        <v>9</v>
      </c>
      <c r="E34" s="3">
        <f>SUM(E13:E33)</f>
        <v>0</v>
      </c>
    </row>
  </sheetData>
  <sheetProtection/>
  <mergeCells count="14">
    <mergeCell ref="G5:N5"/>
    <mergeCell ref="G8:M8"/>
    <mergeCell ref="H15:O28"/>
    <mergeCell ref="I9:P13"/>
    <mergeCell ref="C10:E10"/>
    <mergeCell ref="C9:E9"/>
    <mergeCell ref="A1:E1"/>
    <mergeCell ref="A2:E2"/>
    <mergeCell ref="C3:E3"/>
    <mergeCell ref="C4:E4"/>
    <mergeCell ref="C5:E5"/>
    <mergeCell ref="C8:E8"/>
    <mergeCell ref="C6:E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="115" zoomScaleNormal="115" zoomScalePageLayoutView="0" workbookViewId="0" topLeftCell="A1">
      <selection activeCell="E30" sqref="E30"/>
    </sheetView>
  </sheetViews>
  <sheetFormatPr defaultColWidth="9.33203125" defaultRowHeight="11.25"/>
  <cols>
    <col min="1" max="1" width="53" style="0" bestFit="1" customWidth="1"/>
    <col min="2" max="2" width="10" style="0" bestFit="1" customWidth="1"/>
    <col min="3" max="3" width="8.5" style="0" bestFit="1" customWidth="1"/>
    <col min="4" max="4" width="7.33203125" style="0" customWidth="1"/>
    <col min="5" max="5" width="12.16015625" style="0" customWidth="1"/>
    <col min="6" max="6" width="3.83203125" style="0" customWidth="1"/>
  </cols>
  <sheetData>
    <row r="1" spans="1:5" ht="27" thickBot="1">
      <c r="A1" s="233" t="s">
        <v>179</v>
      </c>
      <c r="B1" s="234"/>
      <c r="C1" s="234"/>
      <c r="D1" s="234"/>
      <c r="E1" s="239"/>
    </row>
    <row r="2" spans="1:5" ht="15" thickBot="1">
      <c r="A2" s="240" t="s">
        <v>3</v>
      </c>
      <c r="B2" s="241"/>
      <c r="C2" s="241"/>
      <c r="D2" s="241"/>
      <c r="E2" s="242"/>
    </row>
    <row r="3" spans="1:16" ht="11.25">
      <c r="A3" s="62" t="s">
        <v>6</v>
      </c>
      <c r="B3" s="58">
        <v>1</v>
      </c>
      <c r="C3" s="243" t="s">
        <v>70</v>
      </c>
      <c r="D3" s="244"/>
      <c r="E3" s="245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1.25">
      <c r="A4" s="63" t="s">
        <v>1</v>
      </c>
      <c r="B4" s="59">
        <v>1.5</v>
      </c>
      <c r="C4" s="246" t="s">
        <v>70</v>
      </c>
      <c r="D4" s="192"/>
      <c r="E4" s="193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24" customHeight="1">
      <c r="A5" s="71" t="s">
        <v>82</v>
      </c>
      <c r="B5" s="99">
        <v>1</v>
      </c>
      <c r="C5" s="223" t="s">
        <v>84</v>
      </c>
      <c r="D5" s="255"/>
      <c r="E5" s="220"/>
      <c r="H5" s="181"/>
      <c r="I5" s="181"/>
      <c r="J5" s="181"/>
      <c r="K5" s="181"/>
      <c r="L5" s="181"/>
      <c r="M5" s="181"/>
      <c r="N5" s="181"/>
      <c r="O5" s="181"/>
      <c r="P5" s="181"/>
    </row>
    <row r="6" spans="1:5" ht="12" thickBot="1">
      <c r="A6" s="97" t="s">
        <v>108</v>
      </c>
      <c r="B6" s="98">
        <v>1</v>
      </c>
      <c r="C6" s="252" t="s">
        <v>70</v>
      </c>
      <c r="D6" s="253"/>
      <c r="E6" s="254"/>
    </row>
    <row r="7" ht="12" thickBot="1"/>
    <row r="8" spans="1:5" ht="12.75">
      <c r="A8" s="91" t="s">
        <v>7</v>
      </c>
      <c r="B8" s="110" t="s">
        <v>110</v>
      </c>
      <c r="C8" s="110" t="s">
        <v>0</v>
      </c>
      <c r="D8" s="92" t="s">
        <v>4</v>
      </c>
      <c r="E8" s="93" t="s">
        <v>8</v>
      </c>
    </row>
    <row r="9" spans="1:5" ht="11.25">
      <c r="A9" s="169" t="s">
        <v>105</v>
      </c>
      <c r="B9" s="57"/>
      <c r="C9" s="103">
        <f>1*B6</f>
        <v>1</v>
      </c>
      <c r="D9" s="103"/>
      <c r="E9" s="100">
        <f>C9*D9</f>
        <v>0</v>
      </c>
    </row>
    <row r="10" spans="1:5" ht="11.25">
      <c r="A10" s="41" t="s">
        <v>180</v>
      </c>
      <c r="B10" s="57"/>
      <c r="C10" s="88">
        <f>B3*B6</f>
        <v>1</v>
      </c>
      <c r="D10" s="88"/>
      <c r="E10" s="100">
        <f aca="true" t="shared" si="0" ref="E10:E25">C10*D10</f>
        <v>0</v>
      </c>
    </row>
    <row r="11" spans="1:5" ht="11.25">
      <c r="A11" s="36" t="s">
        <v>100</v>
      </c>
      <c r="B11" s="57"/>
      <c r="C11" s="103">
        <f>B3*B6</f>
        <v>1</v>
      </c>
      <c r="D11" s="103"/>
      <c r="E11" s="100">
        <f t="shared" si="0"/>
        <v>0</v>
      </c>
    </row>
    <row r="12" spans="1:5" ht="11.25">
      <c r="A12" s="168" t="s">
        <v>181</v>
      </c>
      <c r="B12" s="57"/>
      <c r="C12" s="88">
        <f>B6</f>
        <v>1</v>
      </c>
      <c r="D12" s="88"/>
      <c r="E12" s="100">
        <f t="shared" si="0"/>
        <v>0</v>
      </c>
    </row>
    <row r="13" spans="1:5" ht="11.25">
      <c r="A13" s="36" t="s">
        <v>104</v>
      </c>
      <c r="B13" s="57"/>
      <c r="C13" s="103">
        <f>B3*B6</f>
        <v>1</v>
      </c>
      <c r="D13" s="103"/>
      <c r="E13" s="100">
        <f t="shared" si="0"/>
        <v>0</v>
      </c>
    </row>
    <row r="14" spans="1:5" ht="11.25">
      <c r="A14" s="169" t="s">
        <v>88</v>
      </c>
      <c r="B14" s="57"/>
      <c r="C14" s="103">
        <f>2*B6</f>
        <v>2</v>
      </c>
      <c r="D14" s="103"/>
      <c r="E14" s="100">
        <f t="shared" si="0"/>
        <v>0</v>
      </c>
    </row>
    <row r="15" spans="1:16" ht="11.25">
      <c r="A15" s="170" t="s">
        <v>89</v>
      </c>
      <c r="B15" s="57"/>
      <c r="C15" s="103">
        <f>1*B6</f>
        <v>1</v>
      </c>
      <c r="D15" s="103"/>
      <c r="E15" s="100">
        <f t="shared" si="0"/>
        <v>0</v>
      </c>
      <c r="I15" s="236" t="s">
        <v>210</v>
      </c>
      <c r="J15" s="236"/>
      <c r="K15" s="236"/>
      <c r="L15" s="236"/>
      <c r="M15" s="236"/>
      <c r="N15" s="236"/>
      <c r="O15" s="236"/>
      <c r="P15" s="236"/>
    </row>
    <row r="16" spans="1:16" ht="11.25">
      <c r="A16" s="36" t="s">
        <v>101</v>
      </c>
      <c r="B16" s="57"/>
      <c r="C16" s="103">
        <f>B3*B6</f>
        <v>1</v>
      </c>
      <c r="D16" s="103"/>
      <c r="E16" s="100">
        <f t="shared" si="0"/>
        <v>0</v>
      </c>
      <c r="I16" s="236"/>
      <c r="J16" s="236"/>
      <c r="K16" s="236"/>
      <c r="L16" s="236"/>
      <c r="M16" s="236"/>
      <c r="N16" s="236"/>
      <c r="O16" s="236"/>
      <c r="P16" s="236"/>
    </row>
    <row r="17" spans="1:16" ht="11.25">
      <c r="A17" s="169" t="s">
        <v>106</v>
      </c>
      <c r="B17" s="57"/>
      <c r="C17" s="88">
        <f>1*B6</f>
        <v>1</v>
      </c>
      <c r="D17" s="88"/>
      <c r="E17" s="100">
        <f t="shared" si="0"/>
        <v>0</v>
      </c>
      <c r="I17" s="236"/>
      <c r="J17" s="236"/>
      <c r="K17" s="236"/>
      <c r="L17" s="236"/>
      <c r="M17" s="236"/>
      <c r="N17" s="236"/>
      <c r="O17" s="236"/>
      <c r="P17" s="236"/>
    </row>
    <row r="18" spans="1:16" ht="11.25">
      <c r="A18" s="168" t="s">
        <v>107</v>
      </c>
      <c r="B18" s="57"/>
      <c r="C18" s="88">
        <f>B4*2*1.1*B6</f>
        <v>3.3000000000000003</v>
      </c>
      <c r="D18" s="88"/>
      <c r="E18" s="100">
        <f t="shared" si="0"/>
        <v>0</v>
      </c>
      <c r="I18" s="236"/>
      <c r="J18" s="236"/>
      <c r="K18" s="236"/>
      <c r="L18" s="236"/>
      <c r="M18" s="236"/>
      <c r="N18" s="236"/>
      <c r="O18" s="236"/>
      <c r="P18" s="236"/>
    </row>
    <row r="19" spans="1:16" ht="11.25">
      <c r="A19" s="41"/>
      <c r="B19" s="57"/>
      <c r="C19" s="88">
        <f>2*B6</f>
        <v>2</v>
      </c>
      <c r="D19" s="88"/>
      <c r="E19" s="100">
        <f t="shared" si="0"/>
        <v>0</v>
      </c>
      <c r="I19" s="236"/>
      <c r="J19" s="236"/>
      <c r="K19" s="236"/>
      <c r="L19" s="236"/>
      <c r="M19" s="236"/>
      <c r="N19" s="236"/>
      <c r="O19" s="236"/>
      <c r="P19" s="236"/>
    </row>
    <row r="20" spans="1:16" ht="11.25">
      <c r="A20" s="84" t="s">
        <v>182</v>
      </c>
      <c r="B20" s="57"/>
      <c r="C20" s="88">
        <f>IF(B5=2,B6,0)</f>
        <v>0</v>
      </c>
      <c r="D20" s="88"/>
      <c r="E20" s="100">
        <f t="shared" si="0"/>
        <v>0</v>
      </c>
      <c r="I20" s="236"/>
      <c r="J20" s="236"/>
      <c r="K20" s="236"/>
      <c r="L20" s="236"/>
      <c r="M20" s="236"/>
      <c r="N20" s="236"/>
      <c r="O20" s="236"/>
      <c r="P20" s="236"/>
    </row>
    <row r="21" spans="1:16" ht="11.25">
      <c r="A21" s="84"/>
      <c r="B21" s="57"/>
      <c r="C21" s="88">
        <f>IF(B5=3,2*B6,0)</f>
        <v>0</v>
      </c>
      <c r="D21" s="88"/>
      <c r="E21" s="100">
        <f t="shared" si="0"/>
        <v>0</v>
      </c>
      <c r="I21" s="236"/>
      <c r="J21" s="236"/>
      <c r="K21" s="236"/>
      <c r="L21" s="236"/>
      <c r="M21" s="236"/>
      <c r="N21" s="236"/>
      <c r="O21" s="236"/>
      <c r="P21" s="236"/>
    </row>
    <row r="22" spans="1:16" ht="11.25">
      <c r="A22" s="172" t="s">
        <v>183</v>
      </c>
      <c r="B22" s="57"/>
      <c r="C22" s="88">
        <f>2*B6</f>
        <v>2</v>
      </c>
      <c r="D22" s="88"/>
      <c r="E22" s="100">
        <f t="shared" si="0"/>
        <v>0</v>
      </c>
      <c r="I22" s="236"/>
      <c r="J22" s="236"/>
      <c r="K22" s="236"/>
      <c r="L22" s="236"/>
      <c r="M22" s="236"/>
      <c r="N22" s="236"/>
      <c r="O22" s="236"/>
      <c r="P22" s="236"/>
    </row>
    <row r="23" spans="1:16" ht="11.25">
      <c r="A23" s="84" t="s">
        <v>184</v>
      </c>
      <c r="B23" s="57"/>
      <c r="C23" s="88">
        <f>2*B6</f>
        <v>2</v>
      </c>
      <c r="D23" s="88"/>
      <c r="E23" s="100">
        <f t="shared" si="0"/>
        <v>0</v>
      </c>
      <c r="I23" s="236"/>
      <c r="J23" s="236"/>
      <c r="K23" s="236"/>
      <c r="L23" s="236"/>
      <c r="M23" s="236"/>
      <c r="N23" s="236"/>
      <c r="O23" s="236"/>
      <c r="P23" s="236"/>
    </row>
    <row r="24" spans="1:16" ht="11.25">
      <c r="A24" s="172" t="s">
        <v>185</v>
      </c>
      <c r="B24" s="57"/>
      <c r="C24" s="88">
        <f>B3*B6</f>
        <v>1</v>
      </c>
      <c r="D24" s="88"/>
      <c r="E24" s="100">
        <f t="shared" si="0"/>
        <v>0</v>
      </c>
      <c r="I24" s="236"/>
      <c r="J24" s="236"/>
      <c r="K24" s="236"/>
      <c r="L24" s="236"/>
      <c r="M24" s="236"/>
      <c r="N24" s="236"/>
      <c r="O24" s="236"/>
      <c r="P24" s="236"/>
    </row>
    <row r="25" spans="1:16" ht="12" thickBot="1">
      <c r="A25" s="173"/>
      <c r="B25" s="86"/>
      <c r="C25" s="89">
        <f>B6</f>
        <v>1</v>
      </c>
      <c r="D25" s="89"/>
      <c r="E25" s="101">
        <f t="shared" si="0"/>
        <v>0</v>
      </c>
      <c r="I25" s="236"/>
      <c r="J25" s="236"/>
      <c r="K25" s="236"/>
      <c r="L25" s="236"/>
      <c r="M25" s="236"/>
      <c r="N25" s="236"/>
      <c r="O25" s="236"/>
      <c r="P25" s="236"/>
    </row>
    <row r="26" spans="4:16" ht="11.25">
      <c r="D26" s="3" t="s">
        <v>9</v>
      </c>
      <c r="E26" s="3">
        <f>SUM(E10:E25)</f>
        <v>0</v>
      </c>
      <c r="I26" s="236"/>
      <c r="J26" s="236"/>
      <c r="K26" s="236"/>
      <c r="L26" s="236"/>
      <c r="M26" s="236"/>
      <c r="N26" s="236"/>
      <c r="O26" s="236"/>
      <c r="P26" s="236"/>
    </row>
    <row r="27" spans="9:16" ht="11.25">
      <c r="I27" s="236"/>
      <c r="J27" s="236"/>
      <c r="K27" s="236"/>
      <c r="L27" s="236"/>
      <c r="M27" s="236"/>
      <c r="N27" s="236"/>
      <c r="O27" s="236"/>
      <c r="P27" s="236"/>
    </row>
    <row r="28" spans="9:16" ht="11.25">
      <c r="I28" s="236"/>
      <c r="J28" s="236"/>
      <c r="K28" s="236"/>
      <c r="L28" s="236"/>
      <c r="M28" s="236"/>
      <c r="N28" s="236"/>
      <c r="O28" s="236"/>
      <c r="P28" s="236"/>
    </row>
  </sheetData>
  <sheetProtection/>
  <mergeCells count="8">
    <mergeCell ref="H3:P5"/>
    <mergeCell ref="I15:P28"/>
    <mergeCell ref="C6:E6"/>
    <mergeCell ref="C5:E5"/>
    <mergeCell ref="A1:E1"/>
    <mergeCell ref="A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5" zoomScaleNormal="115" zoomScalePageLayoutView="0" workbookViewId="0" topLeftCell="A1">
      <selection activeCell="E33" sqref="E33"/>
    </sheetView>
  </sheetViews>
  <sheetFormatPr defaultColWidth="9.33203125" defaultRowHeight="11.25"/>
  <cols>
    <col min="1" max="1" width="53" style="0" bestFit="1" customWidth="1"/>
    <col min="2" max="2" width="10" style="0" bestFit="1" customWidth="1"/>
    <col min="3" max="3" width="8.5" style="0" bestFit="1" customWidth="1"/>
    <col min="4" max="4" width="7.33203125" style="0" customWidth="1"/>
    <col min="5" max="5" width="12.16015625" style="0" customWidth="1"/>
    <col min="6" max="6" width="3.83203125" style="0" customWidth="1"/>
  </cols>
  <sheetData>
    <row r="1" spans="1:5" ht="27" thickBot="1">
      <c r="A1" s="233" t="s">
        <v>186</v>
      </c>
      <c r="B1" s="234"/>
      <c r="C1" s="234"/>
      <c r="D1" s="234"/>
      <c r="E1" s="239"/>
    </row>
    <row r="2" spans="1:5" ht="15" thickBot="1">
      <c r="A2" s="240" t="s">
        <v>3</v>
      </c>
      <c r="B2" s="241"/>
      <c r="C2" s="241"/>
      <c r="D2" s="241"/>
      <c r="E2" s="242"/>
    </row>
    <row r="3" spans="1:5" ht="11.25">
      <c r="A3" s="62" t="s">
        <v>6</v>
      </c>
      <c r="B3" s="58">
        <v>1</v>
      </c>
      <c r="C3" s="243" t="s">
        <v>70</v>
      </c>
      <c r="D3" s="244"/>
      <c r="E3" s="245"/>
    </row>
    <row r="4" spans="1:5" ht="11.25">
      <c r="A4" s="63" t="s">
        <v>1</v>
      </c>
      <c r="B4" s="59">
        <v>1.5</v>
      </c>
      <c r="C4" s="246" t="s">
        <v>70</v>
      </c>
      <c r="D4" s="192"/>
      <c r="E4" s="193"/>
    </row>
    <row r="5" spans="1:5" ht="12" thickBot="1">
      <c r="A5" s="97" t="s">
        <v>108</v>
      </c>
      <c r="B5" s="98">
        <v>1</v>
      </c>
      <c r="C5" s="252" t="s">
        <v>70</v>
      </c>
      <c r="D5" s="253"/>
      <c r="E5" s="254"/>
    </row>
    <row r="6" ht="12" thickBot="1"/>
    <row r="7" spans="1:5" ht="12.75">
      <c r="A7" s="91" t="s">
        <v>7</v>
      </c>
      <c r="B7" s="110" t="s">
        <v>110</v>
      </c>
      <c r="C7" s="110" t="s">
        <v>0</v>
      </c>
      <c r="D7" s="92" t="s">
        <v>4</v>
      </c>
      <c r="E7" s="93" t="s">
        <v>8</v>
      </c>
    </row>
    <row r="8" spans="1:5" ht="11.25">
      <c r="A8" s="41" t="s">
        <v>180</v>
      </c>
      <c r="B8" s="57"/>
      <c r="C8" s="88">
        <f>B3*B5</f>
        <v>1</v>
      </c>
      <c r="D8" s="88"/>
      <c r="E8" s="100">
        <f>C8*D8</f>
        <v>0</v>
      </c>
    </row>
    <row r="9" spans="1:15" ht="11.25">
      <c r="A9" s="36" t="s">
        <v>100</v>
      </c>
      <c r="B9" s="57"/>
      <c r="C9" s="103">
        <f>B3*B5</f>
        <v>1</v>
      </c>
      <c r="D9" s="103"/>
      <c r="E9" s="100">
        <f aca="true" t="shared" si="0" ref="E9:E18">C9*D9</f>
        <v>0</v>
      </c>
      <c r="H9" s="238" t="s">
        <v>201</v>
      </c>
      <c r="I9" s="238"/>
      <c r="J9" s="238"/>
      <c r="K9" s="238"/>
      <c r="L9" s="238"/>
      <c r="M9" s="238"/>
      <c r="N9" s="238"/>
      <c r="O9" s="238"/>
    </row>
    <row r="10" spans="1:15" ht="11.25">
      <c r="A10" s="36" t="s">
        <v>187</v>
      </c>
      <c r="B10" s="57"/>
      <c r="C10" s="103">
        <f>B5</f>
        <v>1</v>
      </c>
      <c r="D10" s="103"/>
      <c r="E10" s="100">
        <f t="shared" si="0"/>
        <v>0</v>
      </c>
      <c r="H10" s="238"/>
      <c r="I10" s="238"/>
      <c r="J10" s="238"/>
      <c r="K10" s="238"/>
      <c r="L10" s="238"/>
      <c r="M10" s="238"/>
      <c r="N10" s="238"/>
      <c r="O10" s="238"/>
    </row>
    <row r="11" spans="1:15" ht="11.25">
      <c r="A11" s="36" t="s">
        <v>192</v>
      </c>
      <c r="B11" s="57"/>
      <c r="C11" s="103">
        <f>B3*B5</f>
        <v>1</v>
      </c>
      <c r="D11" s="103"/>
      <c r="E11" s="100">
        <f t="shared" si="0"/>
        <v>0</v>
      </c>
      <c r="H11" s="238"/>
      <c r="I11" s="238"/>
      <c r="J11" s="238"/>
      <c r="K11" s="238"/>
      <c r="L11" s="238"/>
      <c r="M11" s="238"/>
      <c r="N11" s="238"/>
      <c r="O11" s="238"/>
    </row>
    <row r="12" spans="1:15" ht="11.25">
      <c r="A12" s="36" t="s">
        <v>88</v>
      </c>
      <c r="B12" s="57"/>
      <c r="C12" s="103">
        <f>2*B5</f>
        <v>2</v>
      </c>
      <c r="D12" s="103"/>
      <c r="E12" s="100">
        <f t="shared" si="0"/>
        <v>0</v>
      </c>
      <c r="H12" s="238"/>
      <c r="I12" s="238"/>
      <c r="J12" s="238"/>
      <c r="K12" s="238"/>
      <c r="L12" s="238"/>
      <c r="M12" s="238"/>
      <c r="N12" s="238"/>
      <c r="O12" s="238"/>
    </row>
    <row r="13" spans="1:15" ht="11.25">
      <c r="A13" s="36" t="s">
        <v>11</v>
      </c>
      <c r="B13" s="57"/>
      <c r="C13" s="103">
        <f>B5</f>
        <v>1</v>
      </c>
      <c r="D13" s="103"/>
      <c r="E13" s="100">
        <f t="shared" si="0"/>
        <v>0</v>
      </c>
      <c r="H13" s="238"/>
      <c r="I13" s="238"/>
      <c r="J13" s="238"/>
      <c r="K13" s="238"/>
      <c r="L13" s="238"/>
      <c r="M13" s="238"/>
      <c r="N13" s="238"/>
      <c r="O13" s="238"/>
    </row>
    <row r="14" spans="1:15" ht="11.25">
      <c r="A14" s="36" t="s">
        <v>188</v>
      </c>
      <c r="B14" s="57"/>
      <c r="C14" s="103">
        <f>B4*2*1.1*B5</f>
        <v>3.3000000000000003</v>
      </c>
      <c r="D14" s="103"/>
      <c r="E14" s="100">
        <f t="shared" si="0"/>
        <v>0</v>
      </c>
      <c r="H14" s="238"/>
      <c r="I14" s="238"/>
      <c r="J14" s="238"/>
      <c r="K14" s="238"/>
      <c r="L14" s="238"/>
      <c r="M14" s="238"/>
      <c r="N14" s="238"/>
      <c r="O14" s="238"/>
    </row>
    <row r="15" spans="1:15" ht="11.25">
      <c r="A15" s="36" t="s">
        <v>189</v>
      </c>
      <c r="B15" s="57"/>
      <c r="C15" s="103">
        <f>B3*B5</f>
        <v>1</v>
      </c>
      <c r="D15" s="103"/>
      <c r="E15" s="100">
        <f t="shared" si="0"/>
        <v>0</v>
      </c>
      <c r="H15" s="238"/>
      <c r="I15" s="238"/>
      <c r="J15" s="238"/>
      <c r="K15" s="238"/>
      <c r="L15" s="238"/>
      <c r="M15" s="238"/>
      <c r="N15" s="238"/>
      <c r="O15" s="238"/>
    </row>
    <row r="16" spans="1:5" ht="11.25">
      <c r="A16" s="36" t="s">
        <v>190</v>
      </c>
      <c r="B16" s="57"/>
      <c r="C16" s="103">
        <f>B3*B5</f>
        <v>1</v>
      </c>
      <c r="D16" s="103"/>
      <c r="E16" s="100">
        <f t="shared" si="0"/>
        <v>0</v>
      </c>
    </row>
    <row r="17" spans="1:5" ht="11.25">
      <c r="A17" s="36" t="s">
        <v>191</v>
      </c>
      <c r="B17" s="57"/>
      <c r="C17" s="103">
        <f>IF(B3&lt;=1.4,2*B5,IF(B3&lt;=2.1,3*B5,4*B5))</f>
        <v>2</v>
      </c>
      <c r="D17" s="103"/>
      <c r="E17" s="100">
        <f t="shared" si="0"/>
        <v>0</v>
      </c>
    </row>
    <row r="18" spans="1:5" ht="12" thickBot="1">
      <c r="A18" s="85" t="s">
        <v>184</v>
      </c>
      <c r="B18" s="86"/>
      <c r="C18" s="89">
        <f>2*B5</f>
        <v>2</v>
      </c>
      <c r="D18" s="89"/>
      <c r="E18" s="101">
        <f t="shared" si="0"/>
        <v>0</v>
      </c>
    </row>
    <row r="19" spans="4:5" ht="11.25">
      <c r="D19" s="3" t="s">
        <v>9</v>
      </c>
      <c r="E19" s="3">
        <f>SUM(E8:E18)</f>
        <v>0</v>
      </c>
    </row>
    <row r="21" ht="11.25">
      <c r="A21" t="s">
        <v>202</v>
      </c>
    </row>
    <row r="22" ht="11.25">
      <c r="A22" t="s">
        <v>203</v>
      </c>
    </row>
    <row r="23" spans="1:3" ht="11.25">
      <c r="A23" t="s">
        <v>204</v>
      </c>
      <c r="C23">
        <v>3</v>
      </c>
    </row>
  </sheetData>
  <sheetProtection/>
  <mergeCells count="6">
    <mergeCell ref="C5:E5"/>
    <mergeCell ref="A1:E1"/>
    <mergeCell ref="A2:E2"/>
    <mergeCell ref="C3:E3"/>
    <mergeCell ref="C4:E4"/>
    <mergeCell ref="H9:O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Дмитрий Сережкин</cp:lastModifiedBy>
  <cp:lastPrinted>2010-05-27T10:09:10Z</cp:lastPrinted>
  <dcterms:created xsi:type="dcterms:W3CDTF">2005-05-23T08:47:17Z</dcterms:created>
  <dcterms:modified xsi:type="dcterms:W3CDTF">2017-01-24T07:35:50Z</dcterms:modified>
  <cp:category/>
  <cp:version/>
  <cp:contentType/>
  <cp:contentStatus/>
</cp:coreProperties>
</file>