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77" windowHeight="818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  <author>.</author>
    <author>Roman</author>
  </authors>
  <commentList>
    <comment ref="FA6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Эко_терминал-151 (подгуз.ABENA)</t>
        </r>
      </text>
    </comment>
    <comment ref="EP7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компенсация продавцам- не оформлена</t>
        </r>
      </text>
    </comment>
    <comment ref="EW9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оплачено в пн 13.08</t>
        </r>
      </text>
    </comment>
    <comment ref="BY13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ретро-0.7
</t>
        </r>
      </text>
    </comment>
    <comment ref="CO13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кредит-нота -1.8 т. За апрель</t>
        </r>
      </text>
    </comment>
    <comment ref="EW13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кредит-нота от 01.06.12- 0.9 т, от 01.07.12- 1.1 т</t>
        </r>
      </text>
    </comment>
    <comment ref="CQ21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возврат на сумму 22941,75р.</t>
        </r>
      </text>
    </comment>
    <comment ref="CW21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</text>
    </comment>
    <comment ref="BZ22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возврат на 4791,1 от 27.04.12</t>
        </r>
      </text>
    </comment>
    <comment ref="CR25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тендер</t>
        </r>
      </text>
    </comment>
    <comment ref="FF33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оплачено-20975,4</t>
        </r>
      </text>
    </comment>
    <comment ref="DE36" authorId="0">
      <text>
        <r>
          <rPr>
            <b/>
            <sz val="8"/>
            <color indexed="8"/>
            <rFont val="Times New Roman"/>
            <family val="1"/>
          </rPr>
          <t xml:space="preserve">User_1:
</t>
        </r>
        <r>
          <rPr>
            <sz val="8"/>
            <color indexed="8"/>
            <rFont val="Times New Roman"/>
            <family val="1"/>
          </rPr>
          <t>оплатить не позднее 19.06</t>
        </r>
      </text>
    </comment>
    <comment ref="EH36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оплатить утром</t>
        </r>
      </text>
    </comment>
    <comment ref="EI36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оплатить утром</t>
        </r>
      </text>
    </comment>
    <comment ref="AQ37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корректировка по акту сверки-11,1
</t>
        </r>
      </text>
    </comment>
    <comment ref="ET37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возврат от 28.05.12. 2.5</t>
        </r>
      </text>
    </comment>
    <comment ref="DB42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пропущен платеж на 45,0</t>
        </r>
      </text>
    </comment>
    <comment ref="DQ48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оплачено 22687.61</t>
        </r>
      </text>
    </comment>
    <comment ref="EF55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ретро-бонус 1 кв 26.7 т.</t>
        </r>
      </text>
    </comment>
    <comment ref="DR67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премия 2 кв 2012</t>
        </r>
      </text>
    </comment>
    <comment ref="CW69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нал.за накл, кот.встанет на опл-26,06</t>
        </r>
      </text>
    </comment>
    <comment ref="EG69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ООО "РТК"-25(нал)</t>
        </r>
      </text>
    </comment>
    <comment ref="EL69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ооо ртк-25(нал)</t>
        </r>
      </text>
    </comment>
    <comment ref="ER69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ооо ртк-нал</t>
        </r>
      </text>
    </comment>
    <comment ref="EW69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ооо ртк-нал</t>
        </r>
      </text>
    </comment>
    <comment ref="DK70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РТК-79.7 т
</t>
        </r>
      </text>
    </comment>
    <comment ref="EP75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уточнить остаток неоплаченной суммы с учетом ретро-бонуса</t>
        </r>
      </text>
    </comment>
    <comment ref="EP76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 xml:space="preserve">ретро за 2 кв -39,8
</t>
        </r>
      </text>
    </comment>
    <comment ref="CP81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вернулись, затем ушли повторно-5.06</t>
        </r>
      </text>
    </comment>
    <comment ref="AZ82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март -2,8
декабрь - 2,1
</t>
        </r>
      </text>
    </comment>
    <comment ref="H84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мегафон</t>
        </r>
      </text>
    </comment>
    <comment ref="AG84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телеком</t>
        </r>
      </text>
    </comment>
    <comment ref="AJ84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телеком-5,6
МГФ-5,1</t>
        </r>
      </text>
    </comment>
    <comment ref="CQ84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оплачено наличными в мегафон-5</t>
        </r>
      </text>
    </comment>
    <comment ref="DF84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 xml:space="preserve">телеком-7,7
</t>
        </r>
      </text>
    </comment>
    <comment ref="DJ84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мегафон-7,1</t>
        </r>
      </text>
    </comment>
    <comment ref="CG85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телеком: интернет 6.4+телефоны -4,8</t>
        </r>
      </text>
    </comment>
    <comment ref="CO85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Мегафон май -7.1 т,
Ростелеком май -интернет 2.7 т., телефон 5 т.
</t>
        </r>
      </text>
    </comment>
    <comment ref="CR85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Мегафон - апрель
</t>
        </r>
      </text>
    </comment>
    <comment ref="DO85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за смс - июнь (1.4 т)</t>
        </r>
      </text>
    </comment>
    <comment ref="EE85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4-мгф интернет(июнь, июль)
9,4-тлф</t>
        </r>
      </text>
    </comment>
    <comment ref="EZ85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мегафон интернет август-2 т;
рстелеком июль интернет-2.8 т, связь-4.8 т. </t>
        </r>
      </text>
    </comment>
    <comment ref="FC85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мегафон (связь июль) 9.3
</t>
        </r>
      </text>
    </comment>
    <comment ref="FA90" authorId="0">
      <text>
        <r>
          <rPr>
            <sz val="11"/>
            <color indexed="8"/>
            <rFont val="Calibri"/>
            <family val="2"/>
          </rPr>
          <t xml:space="preserve">Доплата по накл от 14.05.
</t>
        </r>
      </text>
    </comment>
    <comment ref="AN93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Пуховиков-5,5
СофтБизнесСервис-3,3</t>
        </r>
      </text>
    </comment>
    <comment ref="AN94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СофтБизнесСервис-3,3(за 1С-Розница)</t>
        </r>
      </text>
    </comment>
    <comment ref="CO94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обслуживание и сопровождение компа за май</t>
        </r>
      </text>
    </comment>
    <comment ref="FF99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выяснить: почему нет счетов за июнь и мюль</t>
        </r>
      </text>
    </comment>
    <comment ref="CP100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 xml:space="preserve">за май-35,6
</t>
        </r>
      </text>
    </comment>
    <comment ref="FC100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услуги июнь, июль</t>
        </r>
      </text>
    </comment>
    <comment ref="DQ102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налоги март-апрель</t>
        </r>
      </text>
    </comment>
    <comment ref="BB103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налоги с ФОТ март</t>
        </r>
      </text>
    </comment>
    <comment ref="BJ103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ЕНВД 1 кв.-4,1
</t>
        </r>
      </text>
    </comment>
    <comment ref="CA103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налоги с ФОТ апрель </t>
        </r>
      </text>
    </comment>
    <comment ref="CW103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НДФЛ май-1.4 т</t>
        </r>
      </text>
    </comment>
    <comment ref="DJ103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Взносы май ФСС НС-0.02т,
СЧ -1.9 т, НЧ-0.7т</t>
        </r>
      </text>
    </comment>
    <comment ref="DP103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(1.4+0.7+1.9+0.02) налоги с ФОТ за июнь
</t>
        </r>
      </text>
    </comment>
    <comment ref="EN103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ЕНВД 2 кв 2012 г-4.1</t>
        </r>
      </text>
    </comment>
    <comment ref="EW103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налоги с фот июль (ндфл 1.1, нч 0.6, сч 1.6, нс 0.02)</t>
        </r>
      </text>
    </comment>
    <comment ref="DQ105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пеня по налогам-0.8 т+0.3т</t>
        </r>
      </text>
    </comment>
    <comment ref="D106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Единовременное пособие при рождении ребенка Бондаренко-12,4</t>
        </r>
      </text>
    </comment>
    <comment ref="AA106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налоги с фот февраль </t>
        </r>
      </text>
    </comment>
    <comment ref="BB106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налоги с фот март</t>
        </r>
      </text>
    </comment>
    <comment ref="BJ106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ЕНВД 1 кв.
Иваново - 38,7
Вичуга - 5,4</t>
        </r>
      </text>
    </comment>
    <comment ref="CA106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налоги с фот апрель</t>
        </r>
      </text>
    </comment>
    <comment ref="CW106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НДФЛ май-12.9 т
</t>
        </r>
      </text>
    </comment>
    <comment ref="DG106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Ивановообувь (аренда июнь) -12.7 т.</t>
        </r>
      </text>
    </comment>
    <comment ref="DJ106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Взносы май
</t>
        </r>
      </text>
    </comment>
    <comment ref="DQ106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пеня по налогам -0.8 т.+0.3т</t>
        </r>
      </text>
    </comment>
    <comment ref="DS106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налоги с ФОТ за июнь-42.4 т
</t>
        </r>
      </text>
    </comment>
    <comment ref="EN106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ЕНВД 2 кв 2012 -5.4-Вичуга, 38.7-иваново</t>
        </r>
      </text>
    </comment>
    <comment ref="EW106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Налоги с ФОТ июль (ндфл 11.6, омс 5.1, нч 3.5, сч 18.3, нс 0.2)</t>
        </r>
      </text>
    </comment>
    <comment ref="FM106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0.1 - пеня по ЕНВД 2 кв </t>
        </r>
      </text>
    </comment>
    <comment ref="F108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НДС
</t>
        </r>
      </text>
    </comment>
    <comment ref="AF108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НДС
</t>
        </r>
      </text>
    </comment>
    <comment ref="BH108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НДС
</t>
        </r>
      </text>
    </comment>
    <comment ref="CF108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НДС
</t>
        </r>
      </text>
    </comment>
    <comment ref="DF108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НДС</t>
        </r>
      </text>
    </comment>
    <comment ref="DZ108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НДФЛ-3 2012 г(аванс)-13 т</t>
        </r>
      </text>
    </comment>
    <comment ref="FF108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уточнить сумму НДС (в июле не оплачивали???)</t>
        </r>
      </text>
    </comment>
    <comment ref="GG108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ндс 2 кв </t>
        </r>
      </text>
    </comment>
    <comment ref="HG108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ндс 2 кв </t>
        </r>
      </text>
    </comment>
    <comment ref="BB109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налоги с фот апрель </t>
        </r>
      </text>
    </comment>
    <comment ref="BF109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НДС 1 кв.2012</t>
        </r>
      </text>
    </comment>
    <comment ref="CW109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НДФЛ май-10.9т
</t>
        </r>
      </text>
    </comment>
    <comment ref="DJ109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Взносы: ФСС НС-0.2т,
СЧ-17.2т, НЧ-3.8т,
ФОМС-4.8т.
</t>
        </r>
      </text>
    </comment>
    <comment ref="DS109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налоги с ФОТ за июнь
-37 т</t>
        </r>
      </text>
    </comment>
    <comment ref="DZ109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НДФЛ-3 2012(аванс)-26 т.</t>
        </r>
      </text>
    </comment>
    <comment ref="EN109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НДС 2 кв 2012 г -53.5</t>
        </r>
      </text>
    </comment>
    <comment ref="EW109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налоги с фот июль-35.9 т
</t>
        </r>
      </text>
    </comment>
    <comment ref="FF109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ндс 2 кв - 17.8 т.</t>
        </r>
      </text>
    </comment>
    <comment ref="GG109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ндс 2 кв - 17.8 т</t>
        </r>
      </text>
    </comment>
    <comment ref="GO109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</text>
    </comment>
    <comment ref="HG109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ндс 2 кв</t>
        </r>
      </text>
    </comment>
    <comment ref="O111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охрана 2мес-7,4</t>
        </r>
      </text>
    </comment>
    <comment ref="P111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громобоя фев.-15</t>
        </r>
      </text>
    </comment>
    <comment ref="T111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 xml:space="preserve">громобоя-15
</t>
        </r>
      </text>
    </comment>
    <comment ref="Y111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ивбакалея-30</t>
        </r>
      </text>
    </comment>
    <comment ref="Z111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Ивбакалея-26,3, Репина-12,7: 
Рабфаковская-14,1</t>
        </r>
      </text>
    </comment>
    <comment ref="AP111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Репина-13
</t>
        </r>
      </text>
    </comment>
    <comment ref="AR111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Репина
</t>
        </r>
      </text>
    </comment>
    <comment ref="AT111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ивбакалея</t>
        </r>
      </text>
    </comment>
    <comment ref="AV111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ивбакалея-20(опл10.04)</t>
        </r>
      </text>
    </comment>
    <comment ref="AW111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Ивбакалея-15
Репина-2
ОП Клен-3,7</t>
        </r>
      </text>
    </comment>
    <comment ref="AX111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аренда Гром-15</t>
        </r>
      </text>
    </comment>
    <comment ref="BS111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ивбакалея-20</t>
        </r>
      </text>
    </comment>
    <comment ref="BW111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ивбакалея-27,7</t>
        </r>
      </text>
    </comment>
    <comment ref="BX111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рабфаковская-12,3</t>
        </r>
      </text>
    </comment>
    <comment ref="BY111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репина-12</t>
        </r>
      </text>
    </comment>
    <comment ref="CA111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охрана-3,9, аренда остаток-7,0</t>
        </r>
      </text>
    </comment>
    <comment ref="CB111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репина-12,2</t>
        </r>
      </text>
    </comment>
    <comment ref="CC111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громобоя-15</t>
        </r>
      </text>
    </comment>
    <comment ref="CP111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суворова-28, рабфак.-12,2</t>
        </r>
      </text>
    </comment>
    <comment ref="CS111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ивбак-20</t>
        </r>
      </text>
    </comment>
    <comment ref="CT111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ивбак-20</t>
        </r>
      </text>
    </comment>
    <comment ref="CU111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ивбак-14,1</t>
        </r>
      </text>
    </comment>
    <comment ref="CX111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тд купеческий-21</t>
        </r>
      </text>
    </comment>
    <comment ref="DD111" authorId="0">
      <text>
        <r>
          <rPr>
            <b/>
            <sz val="8"/>
            <color indexed="8"/>
            <rFont val="Times New Roman"/>
            <family val="1"/>
          </rPr>
          <t xml:space="preserve">User_1:
</t>
        </r>
        <r>
          <rPr>
            <sz val="8"/>
            <color indexed="8"/>
            <rFont val="Times New Roman"/>
            <family val="1"/>
          </rPr>
          <t>Громобоя-15</t>
        </r>
      </text>
    </comment>
    <comment ref="DL111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аренда за июнь Ивобувь--12.7 т.</t>
        </r>
      </text>
    </comment>
    <comment ref="DN111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охрана склада-3.9 т
за павильон(июль)-15т</t>
        </r>
      </text>
    </comment>
    <comment ref="DP111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за предоставление павильона Проект Инвест-15 т</t>
        </r>
      </text>
    </comment>
    <comment ref="DV111" authorId="0">
      <text>
        <r>
          <rPr>
            <b/>
            <sz val="8"/>
            <color indexed="8"/>
            <rFont val="Times New Roman"/>
            <family val="1"/>
          </rPr>
          <t xml:space="preserve">аренда Ивбакалея-27 т
</t>
        </r>
      </text>
    </comment>
    <comment ref="DW111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Ивбакалея-27,1т
Купеческий-21т</t>
        </r>
      </text>
    </comment>
    <comment ref="DX111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Репина-20.9т
</t>
        </r>
      </text>
    </comment>
    <comment ref="EC111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охрана июль 3.9 т</t>
        </r>
      </text>
    </comment>
    <comment ref="EE111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Репина июль-20,9</t>
        </r>
      </text>
    </comment>
    <comment ref="EH111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проект инвест-15 август</t>
        </r>
      </text>
    </comment>
    <comment ref="EP111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горизонт за июль-15</t>
        </r>
      </text>
    </comment>
    <comment ref="EQ111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ивановообувь-13</t>
        </r>
      </text>
    </comment>
    <comment ref="EU111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ивбакалея</t>
        </r>
      </text>
    </comment>
    <comment ref="EX111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ивбакалея</t>
        </r>
      </text>
    </comment>
    <comment ref="EZ111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ивбаклея-5,1</t>
        </r>
      </text>
    </comment>
    <comment ref="FG111" authorId="0">
      <text>
        <r>
          <rPr>
            <sz val="11"/>
            <color indexed="8"/>
            <rFont val="Calibri"/>
            <family val="2"/>
          </rPr>
          <t>Проект инвест ком-ка-5,3</t>
        </r>
      </text>
    </comment>
    <comment ref="FH111" authorId="0">
      <text>
        <r>
          <rPr>
            <sz val="11"/>
            <color indexed="8"/>
            <rFont val="Calibri"/>
            <family val="2"/>
          </rPr>
          <t>Проект инвест аренда-17,5</t>
        </r>
      </text>
    </comment>
    <comment ref="FR111" authorId="0">
      <text>
        <r>
          <rPr>
            <sz val="11"/>
            <color indexed="8"/>
            <rFont val="Calibri"/>
            <family val="2"/>
          </rPr>
          <t>горизонт(авг)-15, ивановообувь-13(авг), репина-5,1</t>
        </r>
      </text>
    </comment>
    <comment ref="P112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Репина-25,7</t>
        </r>
      </text>
    </comment>
    <comment ref="R112" authorId="0">
      <text>
        <r>
          <rPr>
            <b/>
            <sz val="8"/>
            <color indexed="8"/>
            <rFont val="Times New Roman"/>
            <family val="1"/>
          </rPr>
          <t xml:space="preserve">User_2:
</t>
        </r>
        <r>
          <rPr>
            <sz val="8"/>
            <color indexed="8"/>
            <rFont val="Times New Roman"/>
            <family val="1"/>
          </rPr>
          <t>Ивбакалея 56,3,
ОП Клен 3,7</t>
        </r>
      </text>
    </comment>
    <comment ref="Y112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Рабфаковская-14,1
</t>
        </r>
      </text>
    </comment>
    <comment ref="AF112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Рабфаковская аренда-12,6
</t>
        </r>
      </text>
    </comment>
    <comment ref="AP112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Репина-29,1</t>
        </r>
      </text>
    </comment>
    <comment ref="AQ112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Ивбакалея -55
ОП Клен - 3,7
</t>
        </r>
      </text>
    </comment>
    <comment ref="AR112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Громобоя -15</t>
        </r>
      </text>
    </comment>
    <comment ref="BH112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Рабфаковская-12.3
</t>
        </r>
      </text>
    </comment>
    <comment ref="BP112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Репина-24.2
Ивбакалея -54.7
ОП Клен - 3.9
</t>
        </r>
      </text>
    </comment>
    <comment ref="BR112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Громобоя-15</t>
        </r>
      </text>
    </comment>
    <comment ref="CO112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Горизонт- за аренду помещ. (Июнь) за Митронова-15 т, Ивановообувь аренда май -12.2 т</t>
        </r>
      </text>
    </comment>
    <comment ref="CP112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суворова-28</t>
        </r>
      </text>
    </comment>
    <comment ref="CQ112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Ивбакалея-54.1. охрана -3.9
</t>
        </r>
      </text>
    </comment>
    <comment ref="CX112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тд купеческий-21</t>
        </r>
      </text>
    </comment>
    <comment ref="DF112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Аренда июнь Ивобувь-12.7
</t>
        </r>
      </text>
    </comment>
    <comment ref="DI112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Ермака-35</t>
        </r>
      </text>
    </comment>
    <comment ref="DJ112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Горизонт аренда июль-15 т
</t>
        </r>
      </text>
    </comment>
    <comment ref="DM112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за павильон (июль)-15 т
</t>
        </r>
      </text>
    </comment>
    <comment ref="DO112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Репина-аренда ДМ Митронов июнь-20.9 т.</t>
        </r>
      </text>
    </comment>
    <comment ref="DP112" authorId="0">
      <text>
        <r>
          <rPr>
            <b/>
            <sz val="8"/>
            <color indexed="8"/>
            <rFont val="Times New Roman"/>
            <family val="1"/>
          </rPr>
          <t xml:space="preserve">User_1:
</t>
        </r>
        <r>
          <rPr>
            <sz val="8"/>
            <color indexed="8"/>
            <rFont val="Times New Roman"/>
            <family val="1"/>
          </rPr>
          <t xml:space="preserve">Ивбакалея июль-54,1 т
охрана июль-3,9 т
</t>
        </r>
      </text>
    </comment>
    <comment ref="DV112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ИП Репина (июль)-20,9</t>
        </r>
      </text>
    </comment>
    <comment ref="DW112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Купеческий(июль)-21т</t>
        </r>
      </text>
    </comment>
    <comment ref="DY112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горизонт-15(июль)</t>
        </r>
      </text>
    </comment>
    <comment ref="EF112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проект-инвест (август)-15т </t>
        </r>
      </text>
    </comment>
    <comment ref="EI112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Проект-Инвест (ком усл)-0.1
</t>
        </r>
      </text>
    </comment>
    <comment ref="EJ112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Ивобувь(июль)-13</t>
        </r>
      </text>
    </comment>
    <comment ref="EN112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Ивбакалея(август)-55.1</t>
        </r>
      </text>
    </comment>
    <comment ref="EO112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оп клен(август)-3.9</t>
        </r>
      </text>
    </comment>
    <comment ref="EW112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Репина август-31.7</t>
        </r>
      </text>
    </comment>
    <comment ref="FF112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Проект-Инвест коммуналка 5.3 т, аренда сентябрь-17.5 т
</t>
        </r>
      </text>
    </comment>
    <comment ref="G114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эл.эн-я Ермака-11,3</t>
        </r>
      </text>
    </comment>
    <comment ref="J114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инфомаркет</t>
        </r>
      </text>
    </comment>
    <comment ref="N114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Экстра мерч. -4,5
Экстра ретро-бонус -6,2; сайт-14</t>
        </r>
      </text>
    </comment>
    <comment ref="P114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инфомаркет</t>
        </r>
      </text>
    </comment>
    <comment ref="AA114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Торгтехника1,4
Эл.энергия Строителей-12,6
</t>
        </r>
      </text>
    </comment>
    <comment ref="AE114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Ермака эл.энергия -15,2</t>
        </r>
      </text>
    </comment>
    <comment ref="AL114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 xml:space="preserve">МУП САЖХ за 2мес-7,6
</t>
        </r>
      </text>
    </comment>
    <comment ref="AP114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НИИ инновац. Технологий-3
</t>
        </r>
      </text>
    </comment>
    <comment ref="AV114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мерч.экстра-4,5</t>
        </r>
      </text>
    </comment>
    <comment ref="AW114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Инфоцентр-6,8</t>
        </r>
      </text>
    </comment>
    <comment ref="BB114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Эл.энергия 3,5+3,5
</t>
        </r>
      </text>
    </comment>
    <comment ref="CC114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экстра-5, экстра-4,5,
МУП Сажх-3,8</t>
        </r>
      </text>
    </comment>
    <comment ref="CG114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заправка картриджа-1.5</t>
        </r>
      </text>
    </comment>
    <comment ref="CH114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 xml:space="preserve">ретро Экстра-6,9
эл.эн.Строит-1,8
</t>
        </r>
      </text>
    </comment>
    <comment ref="CJ114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эл.энергия ерм-10</t>
        </r>
      </text>
    </comment>
    <comment ref="CQ114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зао мерч 4-5 т май</t>
        </r>
      </text>
    </comment>
    <comment ref="CR114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картридж-6</t>
        </r>
      </text>
    </comment>
    <comment ref="DD114" authorId="0">
      <text>
        <r>
          <rPr>
            <sz val="8"/>
            <color indexed="8"/>
            <rFont val="Times New Roman"/>
            <family val="1"/>
          </rPr>
          <t xml:space="preserve">
Аэро вода -2*0.4 т
Заправка картриджа-1.7 т
</t>
        </r>
      </text>
    </comment>
    <comment ref="DG114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полигр услукги -4.2 т -Спринт</t>
        </r>
      </text>
    </comment>
    <comment ref="DN114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вода 0.4 т</t>
        </r>
      </text>
    </comment>
    <comment ref="DP114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эл.эн-я</t>
        </r>
      </text>
    </comment>
    <comment ref="DQ114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услуги мерчендайзера(май)-4.5</t>
        </r>
      </text>
    </comment>
    <comment ref="DR114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за домен-0.9т
 за вывоз ТБО -3.8 т</t>
        </r>
      </text>
    </comment>
    <comment ref="DX114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НИИ инновац.-3,0 (от 07.06)
картридж-0.8</t>
        </r>
      </text>
    </comment>
    <comment ref="DY114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реклама Инфомаркет-4.6 т
</t>
        </r>
      </text>
    </comment>
    <comment ref="DZ114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вода-0.4т</t>
        </r>
      </text>
    </comment>
    <comment ref="EE114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инфоцентр-1.3
ПРОПЛАТИЛИ в Инфомаркет</t>
        </r>
      </text>
    </comment>
    <comment ref="EF114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Экстра июнь-4.5
</t>
        </r>
      </text>
    </comment>
    <comment ref="EH114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инфоцентр -1.3
</t>
        </r>
      </text>
    </comment>
    <comment ref="EP114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вывоз тбо июль 3.8
аэро-0.4
</t>
        </r>
      </text>
    </comment>
    <comment ref="EQ114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СМС -1.2+1.5
(оплачено 01.08)
</t>
        </r>
      </text>
    </comment>
    <comment ref="ER114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оки-доки-5</t>
        </r>
      </text>
    </comment>
    <comment ref="EW114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вознаграждение Экстра премиум 2.3</t>
        </r>
      </text>
    </comment>
    <comment ref="FC114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СофтБизнесСервис-1,3</t>
        </r>
      </text>
    </comment>
    <comment ref="FD114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налог на транспорт 2011 г-1.9 т</t>
        </r>
      </text>
    </comment>
    <comment ref="FR114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уточнить что за платежи???</t>
        </r>
      </text>
    </comment>
    <comment ref="D115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 xml:space="preserve">ЭТТП (обеспечение заявки)-23
</t>
        </r>
      </text>
    </comment>
    <comment ref="F115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Электроэнергия
Ермака 11,3
Строителей 6,8
</t>
        </r>
      </text>
    </comment>
    <comment ref="G115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Экстра вознагр.6,2
</t>
        </r>
      </text>
    </comment>
    <comment ref="J115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МУП "САЖХ"-3,8</t>
        </r>
      </text>
    </comment>
    <comment ref="N115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Сайт TIU.ru-14,0</t>
        </r>
      </text>
    </comment>
    <comment ref="AA115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Эл.энергия 
Строителей-12,6
Ермака-15,2
</t>
        </r>
      </text>
    </comment>
    <comment ref="AE115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МУП САЖХ-3,8 март</t>
        </r>
      </text>
    </comment>
    <comment ref="AF115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СМС рассылка-0,9
СофтБиз…-1,3 (заправка картр.)</t>
        </r>
      </text>
    </comment>
    <comment ref="AN115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Росгосстрах-6,9(2-й взнос)</t>
        </r>
      </text>
    </comment>
    <comment ref="BB115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МУП САЖХ - 3,8
ЭЛ.ЭН-Я ЕРМ И СТР по 3,5
</t>
        </r>
      </text>
    </comment>
    <comment ref="BH115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Экстра -4.5</t>
        </r>
      </text>
    </comment>
    <comment ref="BP115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Торгтехника -1.4
</t>
        </r>
      </text>
    </comment>
    <comment ref="CB115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за эл.энергию за ерм-10, строит.-1,8
</t>
        </r>
      </text>
    </comment>
    <comment ref="CC115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экстра:
ввод Симилака-5,0
мерч.-4,5
ретро фев-апр - 6,9</t>
        </r>
      </text>
    </comment>
    <comment ref="CD115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ТО и заправка картриджа
</t>
        </r>
      </text>
    </comment>
    <comment ref="CN115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мерч-4,5, Экстра Прем-0,4 (предост.места в мае)</t>
        </r>
      </text>
    </comment>
    <comment ref="CO115" authorId="0">
      <text>
        <r>
          <rPr>
            <sz val="8"/>
            <color indexed="8"/>
            <rFont val="Times New Roman"/>
            <family val="1"/>
          </rPr>
          <t xml:space="preserve">
Вывоз ТБО май-3.8 т</t>
        </r>
      </text>
    </comment>
    <comment ref="CP115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эл.эн-я Ерм-1,3, Строит-1,65</t>
        </r>
      </text>
    </comment>
    <comment ref="CR115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картридж-6 т</t>
        </r>
      </text>
    </comment>
    <comment ref="CU115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Иннов. Технологии(реклама)-3т
</t>
        </r>
      </text>
    </comment>
    <comment ref="CX115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вода-0,4</t>
        </r>
      </text>
    </comment>
    <comment ref="DB115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Софтбизнес-заправка и ТО картриджа-1.7т</t>
        </r>
      </text>
    </comment>
    <comment ref="DE115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0.2 т(предоставление места май)</t>
        </r>
      </text>
    </comment>
    <comment ref="DG115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Спринт-полиграфическиеуслуги-4.2 т
</t>
        </r>
      </text>
    </comment>
    <comment ref="DL115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Электро:
Ермака-май-3.1;июнь-1.3.
Строителей-май-1.5;июнь-1.6.
</t>
        </r>
      </text>
    </comment>
    <comment ref="DN115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вода-0.4т</t>
        </r>
      </text>
    </comment>
    <comment ref="DO115" authorId="0">
      <text>
        <r>
          <rPr>
            <sz val="8"/>
            <color indexed="8"/>
            <rFont val="Times New Roman"/>
            <family val="1"/>
          </rPr>
          <t xml:space="preserve">
4-мегафон интернет июнь, июль
9.4-мегафон июнь
</t>
        </r>
      </text>
    </comment>
    <comment ref="DQ115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услуги мерчендайзера (май) -4.5</t>
        </r>
      </text>
    </comment>
    <comment ref="DR115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за домен 0.9т</t>
        </r>
      </text>
    </comment>
    <comment ref="DV115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1.9 налог на транспорт 2011 г.
0.8 т-картридж</t>
        </r>
      </text>
    </comment>
    <comment ref="DW115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за рекламу в справочной Инфомаркет-9.2т
</t>
        </r>
      </text>
    </comment>
    <comment ref="DY115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Экстра июнь-4.5</t>
        </r>
      </text>
    </comment>
    <comment ref="EE115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инфоцентр-6.8
</t>
        </r>
      </text>
    </comment>
    <comment ref="EI115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Савичева(реклама оки-доки)-5
Экстра (за место июль)-4.5</t>
        </r>
      </text>
    </comment>
    <comment ref="EJ115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софтБизнесСервис-1,3
Торгтехника-1,4 (3-й квартал)</t>
        </r>
      </text>
    </comment>
    <comment ref="EL115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вывоз тбо июль-3.8
аэро-0.4
</t>
        </r>
      </text>
    </comment>
    <comment ref="EQ115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СМС -1.2+1.5
</t>
        </r>
      </text>
    </comment>
    <comment ref="ER115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ТО СофтБизнес-0.8
</t>
        </r>
      </text>
    </comment>
    <comment ref="EW115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вознаграждение Экстра премиум(май-0.9,июнь-1.4)</t>
        </r>
      </text>
    </comment>
    <comment ref="EZ115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экстра мерч август-4.5
экстра возн. Май-июль -11.7 т.</t>
        </r>
      </text>
    </comment>
    <comment ref="EP120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возврат</t>
        </r>
      </text>
    </comment>
    <comment ref="CX121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приход и возврат на сумму 222,0р.</t>
        </r>
      </text>
    </comment>
    <comment ref="ET121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 xml:space="preserve">возврат от 01.2012 г.-0.2
</t>
        </r>
      </text>
    </comment>
    <comment ref="CI123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сумму уточнить у Ирины Вяч.</t>
        </r>
      </text>
    </comment>
    <comment ref="DJ123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BTL-7,0 (уточнить сумму у Ир.Вяч.)</t>
        </r>
      </text>
    </comment>
    <comment ref="CN160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выр-185, а.ю.-200, выр.за 30-100</t>
        </r>
      </text>
    </comment>
    <comment ref="DM160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180-выр.
150-Игор
150-выр.за 28.06
100-н.з.
120-ров</t>
        </r>
      </text>
    </comment>
    <comment ref="EN160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АЮ-350
выр.за 30-100</t>
        </r>
      </text>
    </comment>
    <comment ref="FO160" authorId="0">
      <text>
        <r>
          <rPr>
            <sz val="11"/>
            <color indexed="8"/>
            <rFont val="Calibri"/>
            <family val="2"/>
          </rPr>
          <t>165-выр.,100-выр.за 30,08, 150-аю, 200-ров</t>
        </r>
      </text>
    </comment>
    <comment ref="CN161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б\н-40, вект-200</t>
        </r>
      </text>
    </comment>
    <comment ref="DM161" authorId="0">
      <text>
        <r>
          <rPr>
            <b/>
            <sz val="10"/>
            <color indexed="8"/>
            <rFont val="Times New Roman"/>
            <family val="1"/>
          </rPr>
          <t xml:space="preserve">Roman:
</t>
        </r>
        <r>
          <rPr>
            <sz val="10"/>
            <color indexed="8"/>
            <rFont val="Times New Roman"/>
            <family val="1"/>
          </rPr>
          <t>45-клиенты
160-больницы</t>
        </r>
      </text>
    </comment>
    <comment ref="FH19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ретро-бонус 1 и 2 кв 2012 г.</t>
        </r>
      </text>
    </comment>
    <comment ref="FH115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экстра премиум: 
(вознагр. Июль)-1
(предост.места июль)-0.6
СофтБизнесСервис-0.3
</t>
        </r>
      </text>
    </comment>
    <comment ref="FF111" authorId="2">
      <text>
        <r>
          <rPr>
            <b/>
            <sz val="10"/>
            <rFont val="Tahoma"/>
            <family val="2"/>
          </rPr>
          <t>Roman:</t>
        </r>
        <r>
          <rPr>
            <sz val="10"/>
            <rFont val="Tahoma"/>
            <family val="2"/>
          </rPr>
          <t xml:space="preserve">
репина-10,проектинвест-17,5 и 5,3</t>
        </r>
      </text>
    </comment>
    <comment ref="EW111" authorId="2">
      <text>
        <r>
          <rPr>
            <b/>
            <sz val="10"/>
            <rFont val="Tahoma"/>
            <family val="2"/>
          </rPr>
          <t>Roman:</t>
        </r>
        <r>
          <rPr>
            <sz val="10"/>
            <rFont val="Tahoma"/>
            <family val="2"/>
          </rPr>
          <t xml:space="preserve">
репина-15
</t>
        </r>
      </text>
    </comment>
    <comment ref="EZ105" authorId="2">
      <text>
        <r>
          <rPr>
            <b/>
            <sz val="10"/>
            <rFont val="Tahoma"/>
            <family val="2"/>
          </rPr>
          <t>Roman:</t>
        </r>
        <r>
          <rPr>
            <sz val="10"/>
            <rFont val="Tahoma"/>
            <family val="2"/>
          </rPr>
          <t xml:space="preserve">
пфр по решению от 24.05.12</t>
        </r>
      </text>
    </comment>
    <comment ref="FI115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участие в парктикуме-6
рассылка листовок ИП Назаров-10</t>
        </r>
      </text>
    </comment>
    <comment ref="FX103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налоги с фот август</t>
        </r>
      </text>
    </comment>
    <comment ref="FI114" authorId="2">
      <text>
        <r>
          <rPr>
            <b/>
            <sz val="10"/>
            <rFont val="Tahoma"/>
            <family val="2"/>
          </rPr>
          <t>Roman:</t>
        </r>
        <r>
          <rPr>
            <sz val="10"/>
            <rFont val="Tahoma"/>
            <family val="2"/>
          </rPr>
          <t xml:space="preserve">
рассылка листовок-10, практикум-6</t>
        </r>
      </text>
    </comment>
    <comment ref="FP114" authorId="2">
      <text>
        <r>
          <rPr>
            <b/>
            <sz val="10"/>
            <rFont val="Tahoma"/>
            <family val="2"/>
          </rPr>
          <t>Roman:</t>
        </r>
        <r>
          <rPr>
            <sz val="10"/>
            <rFont val="Tahoma"/>
            <family val="2"/>
          </rPr>
          <t xml:space="preserve">
экстра возн май-июль-11,7</t>
        </r>
      </text>
    </comment>
    <comment ref="FG114" authorId="2">
      <text>
        <r>
          <rPr>
            <b/>
            <sz val="10"/>
            <rFont val="Tahoma"/>
            <family val="2"/>
          </rPr>
          <t>Roman:</t>
        </r>
        <r>
          <rPr>
            <sz val="10"/>
            <rFont val="Tahoma"/>
            <family val="2"/>
          </rPr>
          <t xml:space="preserve">
инфомаркет-3,3</t>
        </r>
      </text>
    </comment>
  </commentList>
</comments>
</file>

<file path=xl/sharedStrings.xml><?xml version="1.0" encoding="utf-8"?>
<sst xmlns="http://schemas.openxmlformats.org/spreadsheetml/2006/main" count="414" uniqueCount="293">
  <si>
    <t>отсрочка</t>
  </si>
  <si>
    <t>пт.17.02.</t>
  </si>
  <si>
    <t>сб.18.02</t>
  </si>
  <si>
    <t>пн.20.02.</t>
  </si>
  <si>
    <t>вт.21.02.</t>
  </si>
  <si>
    <t>ср.22.02.</t>
  </si>
  <si>
    <t>чт.23.02.</t>
  </si>
  <si>
    <t>пт.24.02.</t>
  </si>
  <si>
    <t>сб.25.02.</t>
  </si>
  <si>
    <t>пн.27.02.</t>
  </si>
  <si>
    <t>вт.28.02.</t>
  </si>
  <si>
    <t>ср.29.02.</t>
  </si>
  <si>
    <t>чт.01.03</t>
  </si>
  <si>
    <t>пт.02.03.</t>
  </si>
  <si>
    <t>сб.03.03.</t>
  </si>
  <si>
    <t>пн.05.03.</t>
  </si>
  <si>
    <t>вт.06.03.</t>
  </si>
  <si>
    <t>ср.07.03.</t>
  </si>
  <si>
    <t>чт.08.03.</t>
  </si>
  <si>
    <t>пт.09.03</t>
  </si>
  <si>
    <t>сб.10.03.</t>
  </si>
  <si>
    <t>пн.12.03.</t>
  </si>
  <si>
    <t>вт.13.03.</t>
  </si>
  <si>
    <t>ср.14.03.</t>
  </si>
  <si>
    <t>чт.15.03.</t>
  </si>
  <si>
    <t>пт.16.03.</t>
  </si>
  <si>
    <t>сб.17.03.</t>
  </si>
  <si>
    <t>пн.19.03.</t>
  </si>
  <si>
    <t>вт.20.03.</t>
  </si>
  <si>
    <t>ср.21.03.</t>
  </si>
  <si>
    <t>чт.22.03.</t>
  </si>
  <si>
    <t>пт.23.03.</t>
  </si>
  <si>
    <t>сб.24.03.</t>
  </si>
  <si>
    <t>пн.26.03.</t>
  </si>
  <si>
    <t>вт.27.03.</t>
  </si>
  <si>
    <t>ср.28.03.</t>
  </si>
  <si>
    <t>чт.29.03.</t>
  </si>
  <si>
    <t>пт.30.03.</t>
  </si>
  <si>
    <t>сб.31.03.</t>
  </si>
  <si>
    <t>пн.02.04.</t>
  </si>
  <si>
    <t>вт.03.04.</t>
  </si>
  <si>
    <t>ср.04.04.</t>
  </si>
  <si>
    <t>чт.05.04.</t>
  </si>
  <si>
    <t>пт.06.04.</t>
  </si>
  <si>
    <t>сб.07.04.</t>
  </si>
  <si>
    <t>пн.09.04.</t>
  </si>
  <si>
    <t>вт.10.04.</t>
  </si>
  <si>
    <t>ср.11.04.</t>
  </si>
  <si>
    <t>чт.12.04.</t>
  </si>
  <si>
    <t>пт.13.04.</t>
  </si>
  <si>
    <t>сб.14.04.</t>
  </si>
  <si>
    <t>пн.16.04</t>
  </si>
  <si>
    <t>вт.17.04.</t>
  </si>
  <si>
    <t>ср.18.04.</t>
  </si>
  <si>
    <t>чт.19.04.</t>
  </si>
  <si>
    <t>пт.20.04.</t>
  </si>
  <si>
    <t>сб.21.04.</t>
  </si>
  <si>
    <t>пн.23.04.</t>
  </si>
  <si>
    <t>вт.24.04.</t>
  </si>
  <si>
    <t>ср.25.04.</t>
  </si>
  <si>
    <t>чт.26.04.</t>
  </si>
  <si>
    <t>пт.27.04.</t>
  </si>
  <si>
    <t>сб.28.04.</t>
  </si>
  <si>
    <t>пн.30.04.</t>
  </si>
  <si>
    <t>вт.01.05.</t>
  </si>
  <si>
    <t>ср.02.05.</t>
  </si>
  <si>
    <t>чт.03.05.</t>
  </si>
  <si>
    <t>пт.04.05.</t>
  </si>
  <si>
    <t>сб.05.05.</t>
  </si>
  <si>
    <t>пн.07.05.</t>
  </si>
  <si>
    <t>вт.08.05.</t>
  </si>
  <si>
    <t>ср.09.05.</t>
  </si>
  <si>
    <t>чт.10.05.</t>
  </si>
  <si>
    <t>пт.11.05.</t>
  </si>
  <si>
    <t>сб.12.05.</t>
  </si>
  <si>
    <t>пн.14.05.</t>
  </si>
  <si>
    <t>вт.15.05.</t>
  </si>
  <si>
    <t>ср.16.05.</t>
  </si>
  <si>
    <t>чт.17.05</t>
  </si>
  <si>
    <t>пт.18.05.</t>
  </si>
  <si>
    <t>сб.19.05.</t>
  </si>
  <si>
    <t>пн.21.05.</t>
  </si>
  <si>
    <t>вт.22.05.</t>
  </si>
  <si>
    <t>ср.23.05.</t>
  </si>
  <si>
    <t>чт.24.05.</t>
  </si>
  <si>
    <t>пт.25.05.</t>
  </si>
  <si>
    <t>сб.26.05.</t>
  </si>
  <si>
    <t>пн.28.05.</t>
  </si>
  <si>
    <t>вт.29.05.</t>
  </si>
  <si>
    <t>ср.30.05.</t>
  </si>
  <si>
    <t>чт.31.05.</t>
  </si>
  <si>
    <t>пт.01.06.</t>
  </si>
  <si>
    <t>сб.02.06.</t>
  </si>
  <si>
    <t>пн.04.06.</t>
  </si>
  <si>
    <t>вт.05.06.</t>
  </si>
  <si>
    <t>ср.06.06.</t>
  </si>
  <si>
    <t>чт.07.06.</t>
  </si>
  <si>
    <t>пт.08.06.</t>
  </si>
  <si>
    <t>сб.09.06</t>
  </si>
  <si>
    <t>пн.11.06.</t>
  </si>
  <si>
    <t>вт.12.06.</t>
  </si>
  <si>
    <t>ср.13.06.</t>
  </si>
  <si>
    <t>чт.14.06.</t>
  </si>
  <si>
    <t>пт.15.06.</t>
  </si>
  <si>
    <t>сб.16.06.</t>
  </si>
  <si>
    <t>пн.18.06.</t>
  </si>
  <si>
    <t>вт.19.06.</t>
  </si>
  <si>
    <t>ср.20.06.</t>
  </si>
  <si>
    <t>чт. 21.06.</t>
  </si>
  <si>
    <t>пт.22.06.</t>
  </si>
  <si>
    <t>сб.23.06.</t>
  </si>
  <si>
    <t>пн.25.06.</t>
  </si>
  <si>
    <t>вт.26.06.</t>
  </si>
  <si>
    <t>ср.27.06.</t>
  </si>
  <si>
    <t>чт.28.06.</t>
  </si>
  <si>
    <t>пт.29.06.</t>
  </si>
  <si>
    <t>сб.30.06.</t>
  </si>
  <si>
    <t>пн.02.07</t>
  </si>
  <si>
    <t>вт.03.07.</t>
  </si>
  <si>
    <t>ср.04.07.</t>
  </si>
  <si>
    <t>чт.05.07.</t>
  </si>
  <si>
    <t>пт.06.07.</t>
  </si>
  <si>
    <t>сб.07.07.</t>
  </si>
  <si>
    <t>пн.09.07.</t>
  </si>
  <si>
    <t>вт.10.07.</t>
  </si>
  <si>
    <t>ср.11.07.</t>
  </si>
  <si>
    <t>чт.12.07.</t>
  </si>
  <si>
    <t>пт.13.07.</t>
  </si>
  <si>
    <t>сб.14.07.</t>
  </si>
  <si>
    <t>пн.16.07.</t>
  </si>
  <si>
    <t>вт.17.07.</t>
  </si>
  <si>
    <t>ср.18.07.</t>
  </si>
  <si>
    <t>чт.19.07</t>
  </si>
  <si>
    <t>пт.20.07.</t>
  </si>
  <si>
    <t>сб.21.07.</t>
  </si>
  <si>
    <t>пн.23.07.</t>
  </si>
  <si>
    <t>вт.24.07.</t>
  </si>
  <si>
    <t>ср.25.07.</t>
  </si>
  <si>
    <t>чт.26.07.</t>
  </si>
  <si>
    <t>пт.27.07.</t>
  </si>
  <si>
    <t>сб.28.07.</t>
  </si>
  <si>
    <t>пн.30.07.</t>
  </si>
  <si>
    <t>вт.31.07.</t>
  </si>
  <si>
    <t>ср.01.08.</t>
  </si>
  <si>
    <t>чт.02.08.</t>
  </si>
  <si>
    <t>пт.03.08.</t>
  </si>
  <si>
    <t>сб.04.08.</t>
  </si>
  <si>
    <t>пн.06.08.</t>
  </si>
  <si>
    <t>вт.07.08.</t>
  </si>
  <si>
    <t>ср.08.08.</t>
  </si>
  <si>
    <t>чт.09.08.</t>
  </si>
  <si>
    <t>пт.10.08.</t>
  </si>
  <si>
    <t>сб.11.08</t>
  </si>
  <si>
    <t>пн.13.08</t>
  </si>
  <si>
    <t>вт.14.08.</t>
  </si>
  <si>
    <t>ср.15.08.</t>
  </si>
  <si>
    <t>чт.16.08.</t>
  </si>
  <si>
    <t>пт.17.08.</t>
  </si>
  <si>
    <t>сб.18.08.</t>
  </si>
  <si>
    <t>пн.20.08.</t>
  </si>
  <si>
    <t>вт.21.08.</t>
  </si>
  <si>
    <t>ср.22.08.</t>
  </si>
  <si>
    <t>чт.23.08.</t>
  </si>
  <si>
    <t>пт.24.08.</t>
  </si>
  <si>
    <t>сб.25.08.</t>
  </si>
  <si>
    <t>пн.27.08.</t>
  </si>
  <si>
    <t>вт.28.08.</t>
  </si>
  <si>
    <t>ср.29.08.</t>
  </si>
  <si>
    <t>чт.30.08.</t>
  </si>
  <si>
    <t>пт.31.08.</t>
  </si>
  <si>
    <t>сб.01.09.</t>
  </si>
  <si>
    <t>пн.03.09.</t>
  </si>
  <si>
    <t>вт.04.09.</t>
  </si>
  <si>
    <t>ср.05.09.</t>
  </si>
  <si>
    <t>чт.06.09.</t>
  </si>
  <si>
    <t>пт.07.09.</t>
  </si>
  <si>
    <t>сб.08.09.</t>
  </si>
  <si>
    <t>пн.10.09.</t>
  </si>
  <si>
    <t>вт.11.09.</t>
  </si>
  <si>
    <t>ср.12.09.</t>
  </si>
  <si>
    <t>чт.13.09.</t>
  </si>
  <si>
    <t>пт.14.09.</t>
  </si>
  <si>
    <t>сб.15.09.</t>
  </si>
  <si>
    <t>пн.17.09.</t>
  </si>
  <si>
    <t>вт.18.09.</t>
  </si>
  <si>
    <t>ср.19.09.</t>
  </si>
  <si>
    <t>чт.20.09.</t>
  </si>
  <si>
    <t>пт.21.09.</t>
  </si>
  <si>
    <t>сб.22.09.</t>
  </si>
  <si>
    <t>пн.24.09.</t>
  </si>
  <si>
    <t>вт.25.09.</t>
  </si>
  <si>
    <t>ср.26.09.</t>
  </si>
  <si>
    <t>чт.27.09.</t>
  </si>
  <si>
    <t>пт.28.09.</t>
  </si>
  <si>
    <t>сб.29.09.</t>
  </si>
  <si>
    <t>пн.01.10.</t>
  </si>
  <si>
    <t>вт.02.10.</t>
  </si>
  <si>
    <t>ср.03.10.</t>
  </si>
  <si>
    <t>чт.04.10.</t>
  </si>
  <si>
    <t>пт.05.10.</t>
  </si>
  <si>
    <t>сб.06.10.</t>
  </si>
  <si>
    <t>пн.08.10.</t>
  </si>
  <si>
    <t>вт.09.10.</t>
  </si>
  <si>
    <t>ср.10.10.</t>
  </si>
  <si>
    <t>чт.11.10.</t>
  </si>
  <si>
    <t>пт.12.10.</t>
  </si>
  <si>
    <t>сб.13.10.</t>
  </si>
  <si>
    <t>пн.15.10.</t>
  </si>
  <si>
    <t>вт.16.10.</t>
  </si>
  <si>
    <t>ср.17.10.</t>
  </si>
  <si>
    <t>чт.18.10.</t>
  </si>
  <si>
    <t>пт.19.10.</t>
  </si>
  <si>
    <t>сб.20.10.</t>
  </si>
  <si>
    <t>остаток на нач.дня на р\с</t>
  </si>
  <si>
    <t>приход с пред.дней</t>
  </si>
  <si>
    <r>
      <t>Эко-Терминал</t>
    </r>
    <r>
      <rPr>
        <sz val="10"/>
        <color indexed="10"/>
        <rFont val="Arial Cyr"/>
        <family val="2"/>
      </rPr>
      <t>/Левелс компани</t>
    </r>
  </si>
  <si>
    <t>оплачено</t>
  </si>
  <si>
    <t>к оплате</t>
  </si>
  <si>
    <t>остаток</t>
  </si>
  <si>
    <t>ЛеАна</t>
  </si>
  <si>
    <t>Интегра Сервис</t>
  </si>
  <si>
    <t>сады</t>
  </si>
  <si>
    <t>Алиди-пдг</t>
  </si>
  <si>
    <t>Алиди тенд</t>
  </si>
  <si>
    <t>Алиди прик</t>
  </si>
  <si>
    <t>Юдаев тендер</t>
  </si>
  <si>
    <t>Юдаев  мол.+прикорм</t>
  </si>
  <si>
    <t>милкопт прик.</t>
  </si>
  <si>
    <t>милкопт мол</t>
  </si>
  <si>
    <t>ТД Слащева</t>
  </si>
  <si>
    <t>Л.Арго</t>
  </si>
  <si>
    <t>Сороколет</t>
  </si>
  <si>
    <t>17 на пятницу</t>
  </si>
  <si>
    <t>тинка/СПЕЦСТИЛЬ</t>
  </si>
  <si>
    <r>
      <t>парус/</t>
    </r>
    <r>
      <rPr>
        <sz val="10"/>
        <color indexed="10"/>
        <rFont val="Arial Cyr"/>
        <family val="2"/>
      </rPr>
      <t>Вектор</t>
    </r>
  </si>
  <si>
    <t>Иваново Групп</t>
  </si>
  <si>
    <t>Трейд Сервис</t>
  </si>
  <si>
    <t xml:space="preserve">Умница </t>
  </si>
  <si>
    <t>миронов/ИвановоЛогистика</t>
  </si>
  <si>
    <t xml:space="preserve"> БИБИКОЛЬ</t>
  </si>
  <si>
    <t>спика/Джапан Трейд</t>
  </si>
  <si>
    <t>Хироу Рус</t>
  </si>
  <si>
    <r>
      <t>пузрякова</t>
    </r>
    <r>
      <rPr>
        <sz val="10"/>
        <color indexed="10"/>
        <rFont val="Arial Cyr"/>
        <family val="2"/>
      </rPr>
      <t>/Рябов</t>
    </r>
  </si>
  <si>
    <t>Региональная ТК</t>
  </si>
  <si>
    <t>ТД Юнит</t>
  </si>
  <si>
    <r>
      <t>трейд/</t>
    </r>
    <r>
      <rPr>
        <sz val="10"/>
        <color indexed="12"/>
        <rFont val="Arial Cyr"/>
        <family val="2"/>
      </rPr>
      <t>АНИКА РУ</t>
    </r>
  </si>
  <si>
    <t>Уникон</t>
  </si>
  <si>
    <t>бензин</t>
  </si>
  <si>
    <t>телефон</t>
  </si>
  <si>
    <t>зарплата</t>
  </si>
  <si>
    <t>Мастер-Иваново</t>
  </si>
  <si>
    <t>мол-ман</t>
  </si>
  <si>
    <t>Пуховиков</t>
  </si>
  <si>
    <t>Сладко ГУРТ</t>
  </si>
  <si>
    <t>Трансп Чих</t>
  </si>
  <si>
    <t>налоги Дробышев</t>
  </si>
  <si>
    <t>налоги Митронов</t>
  </si>
  <si>
    <t>налоги Виноградов</t>
  </si>
  <si>
    <t>аренда</t>
  </si>
  <si>
    <r>
      <t xml:space="preserve">реклама </t>
    </r>
    <r>
      <rPr>
        <sz val="10"/>
        <color indexed="10"/>
        <rFont val="Arial Cyr"/>
        <family val="2"/>
      </rPr>
      <t>и проч.</t>
    </r>
  </si>
  <si>
    <t>флёр</t>
  </si>
  <si>
    <t>аспект(игрушки)</t>
  </si>
  <si>
    <t>МедиМастер</t>
  </si>
  <si>
    <t xml:space="preserve">Визави(игрушки) </t>
  </si>
  <si>
    <t>Центр Би-Ти-Эль</t>
  </si>
  <si>
    <t>СтроМат (подг)</t>
  </si>
  <si>
    <t xml:space="preserve"> за товар</t>
  </si>
  <si>
    <t>дельта за день</t>
  </si>
  <si>
    <t>оплачен овердрафт</t>
  </si>
  <si>
    <t>исполльзованный овердрафт</t>
  </si>
  <si>
    <t>Всего долг по овердрафту</t>
  </si>
  <si>
    <t>Процент по овердрафту</t>
  </si>
  <si>
    <t>Приход за неделю</t>
  </si>
  <si>
    <t>Оплата за неделю</t>
  </si>
  <si>
    <t>Оплата за нед с овердр.</t>
  </si>
  <si>
    <t>Приход за месяц</t>
  </si>
  <si>
    <t>Оплата за месяц</t>
  </si>
  <si>
    <t>Приход (нал. Гар.)</t>
  </si>
  <si>
    <t>Приход б/нал</t>
  </si>
  <si>
    <t>Расход</t>
  </si>
  <si>
    <t>Остаток</t>
  </si>
  <si>
    <t>Возврат долга</t>
  </si>
  <si>
    <t>Долг по оверу</t>
  </si>
  <si>
    <t>140-выр.27,02, 100-выр28,02</t>
  </si>
  <si>
    <t>50-контрагенты, 250 МУПы</t>
  </si>
  <si>
    <t>160- южа?</t>
  </si>
  <si>
    <t>200-р.о.в.</t>
  </si>
  <si>
    <t>музы-350</t>
  </si>
  <si>
    <t>музы-300</t>
  </si>
  <si>
    <t>музы-120, клиенты-58 Вектор-200</t>
  </si>
  <si>
    <t>125-выр28,03; 15-опт 28.03;40-опт 29.03; 90-выр.29.03</t>
  </si>
  <si>
    <t>100-выр.за 27,04</t>
  </si>
  <si>
    <t>Манукян М.С.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</si>
</sst>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;@"/>
    <numFmt numFmtId="165" formatCode="0.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2"/>
      <name val="Arial Cyr"/>
      <family val="2"/>
    </font>
    <font>
      <sz val="10"/>
      <color indexed="17"/>
      <name val="Arial Cyr"/>
      <family val="2"/>
    </font>
    <font>
      <sz val="10"/>
      <color indexed="12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1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" fillId="5" borderId="1" applyNumberFormat="0" applyAlignment="0" applyProtection="0"/>
    <xf numFmtId="0" fontId="3" fillId="5" borderId="1" applyNumberFormat="0" applyAlignment="0" applyProtection="0"/>
    <xf numFmtId="0" fontId="3" fillId="5" borderId="1" applyNumberFormat="0" applyAlignment="0" applyProtection="0"/>
    <xf numFmtId="0" fontId="4" fillId="11" borderId="2" applyNumberFormat="0" applyAlignment="0" applyProtection="0"/>
    <xf numFmtId="0" fontId="4" fillId="3" borderId="2" applyNumberFormat="0" applyAlignment="0" applyProtection="0"/>
    <xf numFmtId="0" fontId="4" fillId="3" borderId="2" applyNumberFormat="0" applyAlignment="0" applyProtection="0"/>
    <xf numFmtId="0" fontId="5" fillId="11" borderId="1" applyNumberFormat="0" applyAlignment="0" applyProtection="0"/>
    <xf numFmtId="0" fontId="5" fillId="3" borderId="1" applyNumberFormat="0" applyAlignment="0" applyProtection="0"/>
    <xf numFmtId="0" fontId="5" fillId="3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3" fillId="25" borderId="10" applyNumberFormat="0" applyAlignment="0" applyProtection="0"/>
    <xf numFmtId="0" fontId="13" fillId="25" borderId="10" applyNumberFormat="0" applyAlignment="0" applyProtection="0"/>
    <xf numFmtId="0" fontId="13" fillId="25" borderId="10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11" applyNumberFormat="0" applyAlignment="0" applyProtection="0"/>
    <xf numFmtId="0" fontId="17" fillId="7" borderId="11" applyNumberFormat="0" applyAlignment="0" applyProtection="0"/>
    <xf numFmtId="0" fontId="17" fillId="7" borderId="11" applyNumberFormat="0" applyAlignment="0" applyProtection="0"/>
    <xf numFmtId="9" fontId="1" fillId="0" borderId="0" applyFill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5" borderId="0" xfId="0" applyFill="1" applyAlignment="1">
      <alignment/>
    </xf>
    <xf numFmtId="0" fontId="17" fillId="0" borderId="0" xfId="122">
      <alignment/>
      <protection/>
    </xf>
    <xf numFmtId="16" fontId="17" fillId="0" borderId="0" xfId="123" applyNumberFormat="1" applyFont="1">
      <alignment/>
      <protection/>
    </xf>
    <xf numFmtId="0" fontId="17" fillId="0" borderId="0" xfId="122" applyFont="1" applyFill="1">
      <alignment/>
      <protection/>
    </xf>
    <xf numFmtId="0" fontId="17" fillId="5" borderId="0" xfId="122" applyFont="1" applyFill="1">
      <alignment/>
      <protection/>
    </xf>
    <xf numFmtId="164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17" fillId="0" borderId="0" xfId="122" applyFont="1" applyAlignment="1">
      <alignment wrapText="1"/>
      <protection/>
    </xf>
    <xf numFmtId="0" fontId="17" fillId="0" borderId="0" xfId="123">
      <alignment/>
      <protection/>
    </xf>
    <xf numFmtId="0" fontId="17" fillId="0" borderId="0" xfId="122" applyFont="1" applyFill="1" applyAlignment="1">
      <alignment wrapText="1"/>
      <protection/>
    </xf>
    <xf numFmtId="0" fontId="23" fillId="0" borderId="0" xfId="122" applyFont="1" applyFill="1" applyAlignment="1">
      <alignment wrapText="1"/>
      <protection/>
    </xf>
    <xf numFmtId="0" fontId="17" fillId="0" borderId="0" xfId="122" applyFont="1" applyFill="1" applyAlignment="1">
      <alignment horizontal="right"/>
      <protection/>
    </xf>
    <xf numFmtId="0" fontId="0" fillId="26" borderId="0" xfId="0" applyFill="1" applyAlignment="1">
      <alignment/>
    </xf>
    <xf numFmtId="0" fontId="17" fillId="0" borderId="0" xfId="123" applyNumberFormat="1">
      <alignment/>
      <protection/>
    </xf>
    <xf numFmtId="0" fontId="17" fillId="0" borderId="0" xfId="123" applyNumberFormat="1" applyFill="1">
      <alignment/>
      <protection/>
    </xf>
    <xf numFmtId="0" fontId="27" fillId="0" borderId="0" xfId="123" applyFont="1">
      <alignment/>
      <protection/>
    </xf>
    <xf numFmtId="0" fontId="27" fillId="0" borderId="0" xfId="123" applyFont="1" applyFill="1">
      <alignment/>
      <protection/>
    </xf>
    <xf numFmtId="165" fontId="28" fillId="0" borderId="0" xfId="122" applyNumberFormat="1" applyFont="1" applyFill="1" applyAlignment="1">
      <alignment wrapText="1"/>
      <protection/>
    </xf>
    <xf numFmtId="0" fontId="17" fillId="26" borderId="0" xfId="123" applyFill="1">
      <alignment/>
      <protection/>
    </xf>
    <xf numFmtId="0" fontId="0" fillId="15" borderId="0" xfId="0" applyFill="1" applyAlignment="1">
      <alignment/>
    </xf>
    <xf numFmtId="0" fontId="0" fillId="24" borderId="0" xfId="0" applyFill="1" applyAlignment="1">
      <alignment/>
    </xf>
    <xf numFmtId="165" fontId="29" fillId="0" borderId="0" xfId="122" applyNumberFormat="1" applyFont="1" applyFill="1" applyAlignment="1">
      <alignment wrapText="1"/>
      <protection/>
    </xf>
    <xf numFmtId="165" fontId="17" fillId="0" borderId="0" xfId="122" applyNumberFormat="1" applyFont="1" applyFill="1" applyAlignment="1">
      <alignment wrapText="1"/>
      <protection/>
    </xf>
    <xf numFmtId="165" fontId="17" fillId="0" borderId="0" xfId="122" applyNumberFormat="1" applyFont="1" applyFill="1" applyAlignment="1">
      <alignment horizontal="right"/>
      <protection/>
    </xf>
    <xf numFmtId="165" fontId="17" fillId="0" borderId="0" xfId="123" applyNumberFormat="1">
      <alignment/>
      <protection/>
    </xf>
    <xf numFmtId="0" fontId="17" fillId="5" borderId="0" xfId="123" applyNumberFormat="1" applyFill="1">
      <alignment/>
      <protection/>
    </xf>
    <xf numFmtId="0" fontId="27" fillId="5" borderId="0" xfId="123" applyFont="1" applyFill="1">
      <alignment/>
      <protection/>
    </xf>
    <xf numFmtId="165" fontId="17" fillId="0" borderId="0" xfId="122" applyNumberFormat="1" applyFill="1">
      <alignment/>
      <protection/>
    </xf>
    <xf numFmtId="0" fontId="17" fillId="0" borderId="0" xfId="123" applyFill="1">
      <alignment/>
      <protection/>
    </xf>
    <xf numFmtId="0" fontId="17" fillId="15" borderId="0" xfId="123" applyFill="1">
      <alignment/>
      <protection/>
    </xf>
    <xf numFmtId="0" fontId="17" fillId="5" borderId="0" xfId="123" applyFill="1">
      <alignment/>
      <protection/>
    </xf>
    <xf numFmtId="165" fontId="17" fillId="0" borderId="0" xfId="122" applyNumberFormat="1">
      <alignment/>
      <protection/>
    </xf>
    <xf numFmtId="0" fontId="17" fillId="24" borderId="0" xfId="123" applyFill="1">
      <alignment/>
      <protection/>
    </xf>
    <xf numFmtId="165" fontId="17" fillId="0" borderId="0" xfId="122" applyNumberFormat="1" applyFont="1">
      <alignment/>
      <protection/>
    </xf>
    <xf numFmtId="165" fontId="17" fillId="0" borderId="0" xfId="122" applyNumberFormat="1" applyFont="1" applyFill="1">
      <alignment/>
      <protection/>
    </xf>
    <xf numFmtId="165" fontId="17" fillId="26" borderId="0" xfId="123" applyNumberFormat="1" applyFill="1">
      <alignment/>
      <protection/>
    </xf>
    <xf numFmtId="165" fontId="17" fillId="0" borderId="0" xfId="123" applyNumberFormat="1" applyFill="1">
      <alignment/>
      <protection/>
    </xf>
    <xf numFmtId="165" fontId="17" fillId="15" borderId="0" xfId="123" applyNumberFormat="1" applyFill="1">
      <alignment/>
      <protection/>
    </xf>
    <xf numFmtId="165" fontId="17" fillId="21" borderId="0" xfId="123" applyNumberFormat="1" applyFill="1">
      <alignment/>
      <protection/>
    </xf>
    <xf numFmtId="165" fontId="17" fillId="5" borderId="0" xfId="123" applyNumberFormat="1" applyFill="1">
      <alignment/>
      <protection/>
    </xf>
    <xf numFmtId="165" fontId="17" fillId="24" borderId="0" xfId="123" applyNumberFormat="1" applyFill="1">
      <alignment/>
      <protection/>
    </xf>
    <xf numFmtId="165" fontId="0" fillId="0" borderId="0" xfId="0" applyNumberFormat="1" applyAlignment="1">
      <alignment/>
    </xf>
    <xf numFmtId="165" fontId="27" fillId="0" borderId="0" xfId="123" applyNumberFormat="1" applyFont="1">
      <alignment/>
      <protection/>
    </xf>
    <xf numFmtId="165" fontId="27" fillId="0" borderId="0" xfId="123" applyNumberFormat="1" applyFont="1" applyFill="1">
      <alignment/>
      <protection/>
    </xf>
    <xf numFmtId="165" fontId="27" fillId="5" borderId="0" xfId="123" applyNumberFormat="1" applyFont="1" applyFill="1">
      <alignment/>
      <protection/>
    </xf>
    <xf numFmtId="0" fontId="32" fillId="0" borderId="0" xfId="122" applyFont="1">
      <alignment/>
      <protection/>
    </xf>
    <xf numFmtId="0" fontId="32" fillId="0" borderId="0" xfId="122" applyFont="1" applyFill="1">
      <alignment/>
      <protection/>
    </xf>
    <xf numFmtId="165" fontId="17" fillId="18" borderId="0" xfId="123" applyNumberFormat="1" applyFill="1">
      <alignment/>
      <protection/>
    </xf>
    <xf numFmtId="0" fontId="17" fillId="21" borderId="0" xfId="123" applyFill="1">
      <alignment/>
      <protection/>
    </xf>
    <xf numFmtId="0" fontId="17" fillId="27" borderId="0" xfId="123" applyFill="1">
      <alignment/>
      <protection/>
    </xf>
    <xf numFmtId="0" fontId="17" fillId="0" borderId="0" xfId="122" applyNumberFormat="1" applyFill="1">
      <alignment/>
      <protection/>
    </xf>
    <xf numFmtId="0" fontId="17" fillId="26" borderId="0" xfId="123" applyNumberFormat="1" applyFill="1">
      <alignment/>
      <protection/>
    </xf>
    <xf numFmtId="165" fontId="24" fillId="0" borderId="0" xfId="122" applyNumberFormat="1" applyFont="1" applyFill="1">
      <alignment/>
      <protection/>
    </xf>
    <xf numFmtId="0" fontId="24" fillId="0" borderId="0" xfId="122" applyFont="1" applyFill="1" applyAlignment="1">
      <alignment wrapText="1"/>
      <protection/>
    </xf>
    <xf numFmtId="0" fontId="24" fillId="0" borderId="0" xfId="122" applyFont="1" applyFill="1">
      <alignment/>
      <protection/>
    </xf>
    <xf numFmtId="0" fontId="24" fillId="0" borderId="0" xfId="123" applyFont="1">
      <alignment/>
      <protection/>
    </xf>
    <xf numFmtId="0" fontId="17" fillId="3" borderId="0" xfId="123" applyFill="1">
      <alignment/>
      <protection/>
    </xf>
    <xf numFmtId="165" fontId="17" fillId="13" borderId="0" xfId="123" applyNumberFormat="1" applyFill="1">
      <alignment/>
      <protection/>
    </xf>
    <xf numFmtId="0" fontId="17" fillId="19" borderId="0" xfId="123" applyFill="1">
      <alignment/>
      <protection/>
    </xf>
    <xf numFmtId="0" fontId="17" fillId="13" borderId="0" xfId="123" applyFill="1">
      <alignment/>
      <protection/>
    </xf>
    <xf numFmtId="165" fontId="17" fillId="27" borderId="0" xfId="123" applyNumberFormat="1" applyFill="1">
      <alignment/>
      <protection/>
    </xf>
    <xf numFmtId="165" fontId="17" fillId="28" borderId="0" xfId="123" applyNumberFormat="1" applyFill="1">
      <alignment/>
      <protection/>
    </xf>
    <xf numFmtId="165" fontId="17" fillId="19" borderId="0" xfId="123" applyNumberFormat="1" applyFill="1">
      <alignment/>
      <protection/>
    </xf>
    <xf numFmtId="165" fontId="17" fillId="29" borderId="0" xfId="123" applyNumberFormat="1" applyFill="1">
      <alignment/>
      <protection/>
    </xf>
    <xf numFmtId="0" fontId="17" fillId="27" borderId="0" xfId="123" applyNumberFormat="1" applyFill="1">
      <alignment/>
      <protection/>
    </xf>
    <xf numFmtId="0" fontId="17" fillId="28" borderId="0" xfId="123" applyNumberFormat="1" applyFill="1">
      <alignment/>
      <protection/>
    </xf>
    <xf numFmtId="0" fontId="17" fillId="21" borderId="0" xfId="123" applyNumberFormat="1" applyFill="1">
      <alignment/>
      <protection/>
    </xf>
    <xf numFmtId="0" fontId="33" fillId="0" borderId="0" xfId="123" applyFont="1">
      <alignment/>
      <protection/>
    </xf>
    <xf numFmtId="0" fontId="33" fillId="5" borderId="0" xfId="123" applyFont="1" applyFill="1">
      <alignment/>
      <protection/>
    </xf>
    <xf numFmtId="0" fontId="33" fillId="0" borderId="0" xfId="123" applyFont="1" applyFill="1">
      <alignment/>
      <protection/>
    </xf>
    <xf numFmtId="0" fontId="32" fillId="0" borderId="0" xfId="122" applyFont="1" applyFill="1" applyAlignment="1">
      <alignment wrapText="1"/>
      <protection/>
    </xf>
    <xf numFmtId="165" fontId="32" fillId="0" borderId="0" xfId="0" applyNumberFormat="1" applyFont="1" applyAlignment="1">
      <alignment/>
    </xf>
    <xf numFmtId="165" fontId="32" fillId="5" borderId="0" xfId="0" applyNumberFormat="1" applyFont="1" applyFill="1" applyAlignment="1">
      <alignment/>
    </xf>
    <xf numFmtId="0" fontId="33" fillId="0" borderId="0" xfId="122" applyFont="1" applyFill="1">
      <alignment/>
      <protection/>
    </xf>
    <xf numFmtId="0" fontId="33" fillId="0" borderId="0" xfId="122" applyFont="1" applyFill="1" applyAlignment="1">
      <alignment wrapText="1"/>
      <protection/>
    </xf>
    <xf numFmtId="165" fontId="33" fillId="0" borderId="0" xfId="0" applyNumberFormat="1" applyFont="1" applyAlignment="1">
      <alignment/>
    </xf>
    <xf numFmtId="165" fontId="33" fillId="5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165" fontId="0" fillId="5" borderId="0" xfId="0" applyNumberFormat="1" applyFont="1" applyFill="1" applyAlignment="1">
      <alignment/>
    </xf>
    <xf numFmtId="165" fontId="27" fillId="0" borderId="0" xfId="0" applyNumberFormat="1" applyFont="1" applyAlignment="1">
      <alignment/>
    </xf>
    <xf numFmtId="165" fontId="27" fillId="5" borderId="0" xfId="0" applyNumberFormat="1" applyFont="1" applyFill="1" applyAlignment="1">
      <alignment/>
    </xf>
    <xf numFmtId="2" fontId="17" fillId="0" borderId="0" xfId="122" applyNumberFormat="1" applyFill="1">
      <alignment/>
      <protection/>
    </xf>
    <xf numFmtId="2" fontId="32" fillId="0" borderId="0" xfId="122" applyNumberFormat="1" applyFont="1" applyFill="1" applyAlignment="1">
      <alignment wrapText="1"/>
      <protection/>
    </xf>
    <xf numFmtId="2" fontId="32" fillId="0" borderId="0" xfId="0" applyNumberFormat="1" applyFont="1" applyAlignment="1">
      <alignment/>
    </xf>
    <xf numFmtId="2" fontId="32" fillId="5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165" fontId="0" fillId="27" borderId="0" xfId="0" applyNumberFormat="1" applyFill="1" applyAlignment="1">
      <alignment/>
    </xf>
    <xf numFmtId="165" fontId="0" fillId="0" borderId="0" xfId="0" applyNumberFormat="1" applyFont="1" applyFill="1" applyAlignment="1">
      <alignment/>
    </xf>
    <xf numFmtId="165" fontId="0" fillId="27" borderId="0" xfId="0" applyNumberFormat="1" applyFont="1" applyFill="1" applyAlignment="1">
      <alignment/>
    </xf>
    <xf numFmtId="0" fontId="17" fillId="0" borderId="0" xfId="123" applyFont="1" applyAlignment="1">
      <alignment wrapText="1"/>
      <protection/>
    </xf>
    <xf numFmtId="0" fontId="0" fillId="29" borderId="0" xfId="0" applyFill="1" applyAlignment="1">
      <alignment/>
    </xf>
    <xf numFmtId="0" fontId="0" fillId="0" borderId="0" xfId="0" applyNumberFormat="1" applyAlignment="1">
      <alignment/>
    </xf>
    <xf numFmtId="0" fontId="0" fillId="28" borderId="0" xfId="0" applyFill="1" applyAlignment="1">
      <alignment/>
    </xf>
    <xf numFmtId="0" fontId="0" fillId="26" borderId="0" xfId="0" applyFont="1" applyFill="1" applyAlignment="1">
      <alignment wrapText="1"/>
    </xf>
    <xf numFmtId="0" fontId="0" fillId="28" borderId="0" xfId="0" applyFont="1" applyFill="1" applyAlignment="1">
      <alignment wrapText="1"/>
    </xf>
    <xf numFmtId="0" fontId="0" fillId="29" borderId="0" xfId="0" applyFont="1" applyFill="1" applyAlignment="1">
      <alignment wrapText="1"/>
    </xf>
    <xf numFmtId="0" fontId="17" fillId="30" borderId="0" xfId="123" applyNumberFormat="1" applyFill="1">
      <alignment/>
      <protection/>
    </xf>
    <xf numFmtId="0" fontId="17" fillId="31" borderId="0" xfId="123" applyFill="1">
      <alignment/>
      <protection/>
    </xf>
    <xf numFmtId="0" fontId="17" fillId="32" borderId="0" xfId="123" applyFill="1">
      <alignment/>
      <protection/>
    </xf>
    <xf numFmtId="0" fontId="17" fillId="33" borderId="0" xfId="123" applyFill="1">
      <alignment/>
      <protection/>
    </xf>
    <xf numFmtId="0" fontId="0" fillId="32" borderId="0" xfId="0" applyFill="1" applyAlignment="1">
      <alignment/>
    </xf>
  </cellXfs>
  <cellStyles count="131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3" xfId="123"/>
    <cellStyle name="Плохой" xfId="124"/>
    <cellStyle name="Плохой 2" xfId="125"/>
    <cellStyle name="Плохой 3" xfId="126"/>
    <cellStyle name="Пояснение" xfId="127"/>
    <cellStyle name="Пояснение 2" xfId="128"/>
    <cellStyle name="Пояснение 3" xfId="129"/>
    <cellStyle name="Примечание" xfId="130"/>
    <cellStyle name="Примечание 2" xfId="131"/>
    <cellStyle name="Примечание 3" xfId="132"/>
    <cellStyle name="Percent" xfId="133"/>
    <cellStyle name="Связанная ячейка" xfId="134"/>
    <cellStyle name="Связанная ячейка 2" xfId="135"/>
    <cellStyle name="Связанная ячейка 3" xfId="136"/>
    <cellStyle name="Текст предупреждения" xfId="137"/>
    <cellStyle name="Текст предупреждения 2" xfId="138"/>
    <cellStyle name="Текст предупреждения 3" xfId="139"/>
    <cellStyle name="Comma" xfId="140"/>
    <cellStyle name="Comma [0]" xfId="141"/>
    <cellStyle name="Хороший" xfId="142"/>
    <cellStyle name="Хороший 2" xfId="143"/>
    <cellStyle name="Хороший 3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9"/>
  <sheetViews>
    <sheetView tabSelected="1" zoomScale="80" zoomScaleNormal="80" zoomScalePageLayoutView="0" workbookViewId="0" topLeftCell="A1">
      <pane xSplit="3" ySplit="1" topLeftCell="D5" activePane="bottomRight" state="frozen"/>
      <selection pane="topLeft" activeCell="A1" sqref="A1"/>
      <selection pane="topRight" activeCell="FF1" sqref="FF1"/>
      <selection pane="bottomLeft" activeCell="A149" sqref="A149"/>
      <selection pane="bottomRight" activeCell="A7" sqref="A7"/>
    </sheetView>
  </sheetViews>
  <sheetFormatPr defaultColWidth="9.140625" defaultRowHeight="15"/>
  <cols>
    <col min="1" max="1" width="17.7109375" style="0" customWidth="1"/>
    <col min="2" max="2" width="8.140625" style="0" customWidth="1"/>
    <col min="3" max="3" width="10.421875" style="0" customWidth="1"/>
    <col min="72" max="74" width="9.140625" style="1" customWidth="1"/>
    <col min="106" max="106" width="11.421875" style="0" customWidth="1"/>
  </cols>
  <sheetData>
    <row r="1" spans="1:215" ht="15">
      <c r="A1" s="2"/>
      <c r="B1" s="2" t="s">
        <v>0</v>
      </c>
      <c r="C1" s="2"/>
      <c r="D1" s="3" t="s">
        <v>1</v>
      </c>
      <c r="E1" s="3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4" t="s">
        <v>27</v>
      </c>
      <c r="AE1" s="4" t="s">
        <v>28</v>
      </c>
      <c r="AF1" s="2" t="s">
        <v>29</v>
      </c>
      <c r="AG1" s="2" t="s">
        <v>30</v>
      </c>
      <c r="AH1" s="2" t="s">
        <v>31</v>
      </c>
      <c r="AI1" s="2" t="s">
        <v>32</v>
      </c>
      <c r="AJ1" s="2" t="s">
        <v>33</v>
      </c>
      <c r="AK1" s="2" t="s">
        <v>34</v>
      </c>
      <c r="AL1" s="2" t="s">
        <v>35</v>
      </c>
      <c r="AM1" s="2" t="s">
        <v>36</v>
      </c>
      <c r="AN1" s="2" t="s">
        <v>37</v>
      </c>
      <c r="AO1" s="2" t="s">
        <v>38</v>
      </c>
      <c r="AP1" s="2" t="s">
        <v>39</v>
      </c>
      <c r="AQ1" s="2" t="s">
        <v>40</v>
      </c>
      <c r="AR1" s="2" t="s">
        <v>41</v>
      </c>
      <c r="AS1" s="2" t="s">
        <v>42</v>
      </c>
      <c r="AT1" s="2" t="s">
        <v>43</v>
      </c>
      <c r="AU1" s="2" t="s">
        <v>44</v>
      </c>
      <c r="AV1" s="2" t="s">
        <v>45</v>
      </c>
      <c r="AW1" s="2" t="s">
        <v>46</v>
      </c>
      <c r="AX1" s="2" t="s">
        <v>47</v>
      </c>
      <c r="AY1" s="2" t="s">
        <v>48</v>
      </c>
      <c r="AZ1" s="2" t="s">
        <v>49</v>
      </c>
      <c r="BA1" s="2" t="s">
        <v>50</v>
      </c>
      <c r="BB1" s="4" t="s">
        <v>51</v>
      </c>
      <c r="BC1" s="4" t="s">
        <v>52</v>
      </c>
      <c r="BD1" s="4" t="s">
        <v>53</v>
      </c>
      <c r="BE1" s="4" t="s">
        <v>54</v>
      </c>
      <c r="BF1" s="4" t="s">
        <v>55</v>
      </c>
      <c r="BG1" s="4" t="s">
        <v>56</v>
      </c>
      <c r="BH1" s="4" t="s">
        <v>57</v>
      </c>
      <c r="BI1" s="4" t="s">
        <v>58</v>
      </c>
      <c r="BJ1" s="4" t="s">
        <v>59</v>
      </c>
      <c r="BK1" s="4" t="s">
        <v>60</v>
      </c>
      <c r="BL1" s="4" t="s">
        <v>61</v>
      </c>
      <c r="BM1" s="4" t="s">
        <v>62</v>
      </c>
      <c r="BN1" s="4" t="s">
        <v>63</v>
      </c>
      <c r="BO1" s="4" t="s">
        <v>64</v>
      </c>
      <c r="BP1" s="4" t="s">
        <v>65</v>
      </c>
      <c r="BQ1" s="4" t="s">
        <v>66</v>
      </c>
      <c r="BR1" s="4" t="s">
        <v>67</v>
      </c>
      <c r="BS1" s="4" t="s">
        <v>68</v>
      </c>
      <c r="BT1" s="5" t="s">
        <v>69</v>
      </c>
      <c r="BU1" s="5" t="s">
        <v>70</v>
      </c>
      <c r="BV1" s="5" t="s">
        <v>71</v>
      </c>
      <c r="BW1" s="4" t="s">
        <v>72</v>
      </c>
      <c r="BX1" s="4" t="s">
        <v>73</v>
      </c>
      <c r="BY1" s="4" t="s">
        <v>74</v>
      </c>
      <c r="BZ1" s="4" t="s">
        <v>75</v>
      </c>
      <c r="CA1" s="4" t="s">
        <v>76</v>
      </c>
      <c r="CB1" s="4" t="s">
        <v>77</v>
      </c>
      <c r="CC1" s="4" t="s">
        <v>78</v>
      </c>
      <c r="CD1" s="4" t="s">
        <v>79</v>
      </c>
      <c r="CE1" s="4" t="s">
        <v>80</v>
      </c>
      <c r="CF1" s="4" t="s">
        <v>81</v>
      </c>
      <c r="CG1" s="4" t="s">
        <v>82</v>
      </c>
      <c r="CH1" s="4" t="s">
        <v>83</v>
      </c>
      <c r="CI1" s="4" t="s">
        <v>84</v>
      </c>
      <c r="CJ1" s="4" t="s">
        <v>85</v>
      </c>
      <c r="CK1" s="4" t="s">
        <v>86</v>
      </c>
      <c r="CL1" s="4" t="s">
        <v>87</v>
      </c>
      <c r="CM1" s="4" t="s">
        <v>88</v>
      </c>
      <c r="CN1" s="4" t="s">
        <v>89</v>
      </c>
      <c r="CO1" s="4" t="s">
        <v>90</v>
      </c>
      <c r="CP1" s="4" t="s">
        <v>91</v>
      </c>
      <c r="CQ1" s="4" t="s">
        <v>92</v>
      </c>
      <c r="CR1" s="4" t="s">
        <v>93</v>
      </c>
      <c r="CS1" s="4" t="s">
        <v>94</v>
      </c>
      <c r="CT1" s="4" t="s">
        <v>95</v>
      </c>
      <c r="CU1" s="4" t="s">
        <v>96</v>
      </c>
      <c r="CV1" s="4" t="s">
        <v>97</v>
      </c>
      <c r="CW1" s="4" t="s">
        <v>98</v>
      </c>
      <c r="CX1" s="4" t="s">
        <v>99</v>
      </c>
      <c r="CY1" s="4" t="s">
        <v>100</v>
      </c>
      <c r="CZ1" s="4" t="s">
        <v>101</v>
      </c>
      <c r="DA1" s="4" t="s">
        <v>102</v>
      </c>
      <c r="DB1" s="4" t="s">
        <v>103</v>
      </c>
      <c r="DC1" s="4" t="s">
        <v>104</v>
      </c>
      <c r="DD1" s="4" t="s">
        <v>105</v>
      </c>
      <c r="DE1" s="4" t="s">
        <v>106</v>
      </c>
      <c r="DF1" s="4" t="s">
        <v>107</v>
      </c>
      <c r="DG1" s="4" t="s">
        <v>108</v>
      </c>
      <c r="DH1" s="4" t="s">
        <v>109</v>
      </c>
      <c r="DI1" s="4" t="s">
        <v>110</v>
      </c>
      <c r="DJ1" s="4" t="s">
        <v>111</v>
      </c>
      <c r="DK1" s="4" t="s">
        <v>112</v>
      </c>
      <c r="DL1" s="4" t="s">
        <v>113</v>
      </c>
      <c r="DM1" s="6" t="s">
        <v>114</v>
      </c>
      <c r="DN1" s="4" t="s">
        <v>115</v>
      </c>
      <c r="DO1" s="4" t="s">
        <v>116</v>
      </c>
      <c r="DP1" s="4" t="s">
        <v>117</v>
      </c>
      <c r="DQ1" s="4" t="s">
        <v>118</v>
      </c>
      <c r="DR1" s="4" t="s">
        <v>119</v>
      </c>
      <c r="DS1" s="4" t="s">
        <v>120</v>
      </c>
      <c r="DT1" s="4" t="s">
        <v>121</v>
      </c>
      <c r="DU1" s="4" t="s">
        <v>122</v>
      </c>
      <c r="DV1" s="4" t="s">
        <v>123</v>
      </c>
      <c r="DW1" s="4" t="s">
        <v>124</v>
      </c>
      <c r="DX1" s="4" t="s">
        <v>125</v>
      </c>
      <c r="DY1" s="4" t="s">
        <v>126</v>
      </c>
      <c r="DZ1" s="4" t="s">
        <v>127</v>
      </c>
      <c r="EA1" s="4" t="s">
        <v>128</v>
      </c>
      <c r="EB1" s="4" t="s">
        <v>129</v>
      </c>
      <c r="EC1" s="4" t="s">
        <v>130</v>
      </c>
      <c r="ED1" s="4" t="s">
        <v>131</v>
      </c>
      <c r="EE1" s="4" t="s">
        <v>132</v>
      </c>
      <c r="EF1" s="4" t="s">
        <v>133</v>
      </c>
      <c r="EG1" s="4" t="s">
        <v>134</v>
      </c>
      <c r="EH1" s="4" t="s">
        <v>135</v>
      </c>
      <c r="EI1" s="4" t="s">
        <v>136</v>
      </c>
      <c r="EJ1" s="4" t="s">
        <v>137</v>
      </c>
      <c r="EK1" s="4" t="s">
        <v>138</v>
      </c>
      <c r="EL1" s="4" t="s">
        <v>139</v>
      </c>
      <c r="EM1" s="4" t="s">
        <v>140</v>
      </c>
      <c r="EN1" s="4" t="s">
        <v>141</v>
      </c>
      <c r="EO1" s="4" t="s">
        <v>142</v>
      </c>
      <c r="EP1" s="4" t="s">
        <v>143</v>
      </c>
      <c r="EQ1" s="4" t="s">
        <v>144</v>
      </c>
      <c r="ER1" s="4" t="s">
        <v>145</v>
      </c>
      <c r="ES1" s="4" t="s">
        <v>146</v>
      </c>
      <c r="ET1" s="4" t="s">
        <v>147</v>
      </c>
      <c r="EU1" s="4" t="s">
        <v>148</v>
      </c>
      <c r="EV1" s="4" t="s">
        <v>149</v>
      </c>
      <c r="EW1" s="4" t="s">
        <v>150</v>
      </c>
      <c r="EX1" s="4" t="s">
        <v>151</v>
      </c>
      <c r="EY1" s="4" t="s">
        <v>152</v>
      </c>
      <c r="EZ1" s="4" t="s">
        <v>153</v>
      </c>
      <c r="FA1" s="4" t="s">
        <v>154</v>
      </c>
      <c r="FB1" s="4" t="s">
        <v>155</v>
      </c>
      <c r="FC1" s="4" t="s">
        <v>156</v>
      </c>
      <c r="FD1" s="4" t="s">
        <v>157</v>
      </c>
      <c r="FE1" s="4" t="s">
        <v>158</v>
      </c>
      <c r="FF1" s="4" t="s">
        <v>159</v>
      </c>
      <c r="FG1" s="4" t="s">
        <v>160</v>
      </c>
      <c r="FH1" s="4" t="s">
        <v>161</v>
      </c>
      <c r="FI1" s="4" t="s">
        <v>162</v>
      </c>
      <c r="FJ1" s="4" t="s">
        <v>163</v>
      </c>
      <c r="FK1" s="4" t="s">
        <v>164</v>
      </c>
      <c r="FL1" s="4" t="s">
        <v>165</v>
      </c>
      <c r="FM1" s="4" t="s">
        <v>166</v>
      </c>
      <c r="FN1" s="4" t="s">
        <v>167</v>
      </c>
      <c r="FO1" s="4" t="s">
        <v>168</v>
      </c>
      <c r="FP1" s="4" t="s">
        <v>169</v>
      </c>
      <c r="FQ1" s="4" t="s">
        <v>170</v>
      </c>
      <c r="FR1" s="4" t="s">
        <v>171</v>
      </c>
      <c r="FS1" s="4" t="s">
        <v>172</v>
      </c>
      <c r="FT1" s="4" t="s">
        <v>173</v>
      </c>
      <c r="FU1" s="4" t="s">
        <v>174</v>
      </c>
      <c r="FV1" s="4" t="s">
        <v>175</v>
      </c>
      <c r="FW1" s="4" t="s">
        <v>176</v>
      </c>
      <c r="FX1" s="4" t="s">
        <v>177</v>
      </c>
      <c r="FY1" s="4" t="s">
        <v>178</v>
      </c>
      <c r="FZ1" s="4" t="s">
        <v>179</v>
      </c>
      <c r="GA1" s="4" t="s">
        <v>180</v>
      </c>
      <c r="GB1" s="4" t="s">
        <v>181</v>
      </c>
      <c r="GC1" s="4" t="s">
        <v>182</v>
      </c>
      <c r="GD1" s="4" t="s">
        <v>183</v>
      </c>
      <c r="GE1" s="4" t="s">
        <v>184</v>
      </c>
      <c r="GF1" s="4" t="s">
        <v>185</v>
      </c>
      <c r="GG1" s="4" t="s">
        <v>186</v>
      </c>
      <c r="GH1" s="4" t="s">
        <v>187</v>
      </c>
      <c r="GI1" s="4" t="s">
        <v>188</v>
      </c>
      <c r="GJ1" s="4" t="s">
        <v>189</v>
      </c>
      <c r="GK1" s="4" t="s">
        <v>190</v>
      </c>
      <c r="GL1" s="4" t="s">
        <v>191</v>
      </c>
      <c r="GM1" s="4" t="s">
        <v>192</v>
      </c>
      <c r="GN1" s="4" t="s">
        <v>193</v>
      </c>
      <c r="GO1" s="4" t="s">
        <v>194</v>
      </c>
      <c r="GP1" s="4" t="s">
        <v>195</v>
      </c>
      <c r="GQ1" s="4" t="s">
        <v>196</v>
      </c>
      <c r="GR1" s="4" t="s">
        <v>197</v>
      </c>
      <c r="GS1" s="4" t="s">
        <v>198</v>
      </c>
      <c r="GT1" s="4" t="s">
        <v>199</v>
      </c>
      <c r="GU1" s="4" t="s">
        <v>200</v>
      </c>
      <c r="GV1" s="4" t="s">
        <v>201</v>
      </c>
      <c r="GW1" s="4" t="s">
        <v>202</v>
      </c>
      <c r="GX1" s="4" t="s">
        <v>203</v>
      </c>
      <c r="GY1" s="4" t="s">
        <v>204</v>
      </c>
      <c r="GZ1" s="4" t="s">
        <v>205</v>
      </c>
      <c r="HA1" s="4" t="s">
        <v>206</v>
      </c>
      <c r="HB1" s="4" t="s">
        <v>207</v>
      </c>
      <c r="HC1" s="4" t="s">
        <v>208</v>
      </c>
      <c r="HD1" s="4" t="s">
        <v>209</v>
      </c>
      <c r="HE1" s="4" t="s">
        <v>210</v>
      </c>
      <c r="HF1" s="4" t="s">
        <v>211</v>
      </c>
      <c r="HG1" s="4" t="s">
        <v>212</v>
      </c>
    </row>
    <row r="2" spans="30:31" ht="15">
      <c r="AD2" s="7"/>
      <c r="AE2" s="7"/>
    </row>
    <row r="3" spans="1:31" ht="26.25" customHeight="1">
      <c r="A3" s="2"/>
      <c r="B3" s="2"/>
      <c r="C3" s="8" t="s">
        <v>213</v>
      </c>
      <c r="D3" s="9"/>
      <c r="E3" s="9"/>
      <c r="AD3" s="7"/>
      <c r="AE3" s="7"/>
    </row>
    <row r="4" spans="1:31" ht="38.25">
      <c r="A4" s="2"/>
      <c r="B4" s="2"/>
      <c r="C4" s="8" t="s">
        <v>214</v>
      </c>
      <c r="D4" s="9"/>
      <c r="E4" s="9"/>
      <c r="X4" s="7"/>
      <c r="AA4" s="7"/>
      <c r="AD4" s="7"/>
      <c r="AE4" s="7"/>
    </row>
    <row r="5" spans="1:31" ht="15">
      <c r="A5" s="8"/>
      <c r="B5" s="10"/>
      <c r="C5" s="4"/>
      <c r="D5" s="9"/>
      <c r="E5" s="9"/>
      <c r="X5" s="7"/>
      <c r="AA5" s="7"/>
      <c r="AD5" s="7"/>
      <c r="AE5" s="7"/>
    </row>
    <row r="6" spans="1:157" ht="27" customHeight="1">
      <c r="A6" s="11" t="s">
        <v>215</v>
      </c>
      <c r="B6" s="10">
        <v>30</v>
      </c>
      <c r="C6" s="12" t="s">
        <v>216</v>
      </c>
      <c r="D6" s="9"/>
      <c r="E6" s="9"/>
      <c r="O6" s="7"/>
      <c r="X6" s="7"/>
      <c r="AA6" s="7"/>
      <c r="AD6" s="7"/>
      <c r="AE6" s="7"/>
      <c r="BT6"/>
      <c r="BU6"/>
      <c r="BV6"/>
      <c r="FA6" s="13">
        <v>151</v>
      </c>
    </row>
    <row r="7" spans="1:197" ht="15">
      <c r="A7" s="10"/>
      <c r="B7" s="10"/>
      <c r="C7" s="12" t="s">
        <v>217</v>
      </c>
      <c r="D7" s="14">
        <v>12.099999999999994</v>
      </c>
      <c r="E7" s="14">
        <f>D8</f>
        <v>12.099999999999994</v>
      </c>
      <c r="F7" s="14">
        <f aca="true" t="shared" si="0" ref="F7:BH7">E8</f>
        <v>12.099999999999994</v>
      </c>
      <c r="G7" s="14">
        <f t="shared" si="0"/>
        <v>12.099999999999994</v>
      </c>
      <c r="H7" s="14">
        <f t="shared" si="0"/>
        <v>12.099999999999994</v>
      </c>
      <c r="I7" s="14">
        <f t="shared" si="0"/>
        <v>12.099999999999994</v>
      </c>
      <c r="J7" s="14">
        <f t="shared" si="0"/>
        <v>12.099999999999994</v>
      </c>
      <c r="K7" s="14">
        <f t="shared" si="0"/>
        <v>12.099999999999994</v>
      </c>
      <c r="L7" s="14">
        <f t="shared" si="0"/>
        <v>12.099999999999994</v>
      </c>
      <c r="M7" s="14">
        <f t="shared" si="0"/>
        <v>12.099999999999994</v>
      </c>
      <c r="N7" s="14">
        <f t="shared" si="0"/>
        <v>12.099999999999994</v>
      </c>
      <c r="O7" s="15">
        <f t="shared" si="0"/>
        <v>12.099999999999994</v>
      </c>
      <c r="P7" s="14">
        <f t="shared" si="0"/>
        <v>12.099999999999994</v>
      </c>
      <c r="Q7" s="14">
        <f t="shared" si="0"/>
        <v>12.099999999999994</v>
      </c>
      <c r="R7" s="14">
        <f t="shared" si="0"/>
        <v>12.099999999999994</v>
      </c>
      <c r="S7" s="14">
        <f t="shared" si="0"/>
        <v>12.099999999999994</v>
      </c>
      <c r="T7" s="14">
        <f t="shared" si="0"/>
        <v>12.099999999999994</v>
      </c>
      <c r="U7" s="14">
        <f t="shared" si="0"/>
        <v>12.099999999999994</v>
      </c>
      <c r="V7" s="14">
        <f t="shared" si="0"/>
        <v>12.099999999999994</v>
      </c>
      <c r="W7" s="14">
        <f t="shared" si="0"/>
        <v>12.099999999999994</v>
      </c>
      <c r="X7" s="15">
        <f t="shared" si="0"/>
        <v>12.099999999999994</v>
      </c>
      <c r="Y7" s="14">
        <f t="shared" si="0"/>
        <v>12.099999999999994</v>
      </c>
      <c r="Z7" s="14">
        <f t="shared" si="0"/>
        <v>12.099999999999994</v>
      </c>
      <c r="AA7" s="15">
        <f t="shared" si="0"/>
        <v>12.099999999999994</v>
      </c>
      <c r="AB7" s="14">
        <f t="shared" si="0"/>
        <v>12.099999999999994</v>
      </c>
      <c r="AC7" s="14">
        <f t="shared" si="0"/>
        <v>12.099999999999994</v>
      </c>
      <c r="AD7" s="15">
        <f t="shared" si="0"/>
        <v>12.099999999999994</v>
      </c>
      <c r="AE7" s="15">
        <f t="shared" si="0"/>
        <v>12.099999999999994</v>
      </c>
      <c r="AF7" s="14">
        <f t="shared" si="0"/>
        <v>12.099999999999994</v>
      </c>
      <c r="AG7" s="14">
        <f t="shared" si="0"/>
        <v>12.099999999999994</v>
      </c>
      <c r="AH7" s="14">
        <f t="shared" si="0"/>
        <v>12.099999999999994</v>
      </c>
      <c r="AI7" s="14">
        <f t="shared" si="0"/>
        <v>12.099999999999994</v>
      </c>
      <c r="AJ7" s="14">
        <f t="shared" si="0"/>
        <v>12.099999999999994</v>
      </c>
      <c r="AK7" s="14">
        <f t="shared" si="0"/>
        <v>12.099999999999994</v>
      </c>
      <c r="AL7" s="14">
        <f t="shared" si="0"/>
        <v>12.099999999999994</v>
      </c>
      <c r="AM7" s="14">
        <f t="shared" si="0"/>
        <v>12.099999999999994</v>
      </c>
      <c r="AN7" s="14">
        <f t="shared" si="0"/>
        <v>12.099999999999994</v>
      </c>
      <c r="AO7" s="14">
        <f t="shared" si="0"/>
        <v>12.099999999999994</v>
      </c>
      <c r="AP7" s="14">
        <f t="shared" si="0"/>
        <v>12.099999999999994</v>
      </c>
      <c r="AQ7" s="14">
        <f t="shared" si="0"/>
        <v>12.099999999999994</v>
      </c>
      <c r="AR7" s="14">
        <f t="shared" si="0"/>
        <v>12.099999999999994</v>
      </c>
      <c r="AS7" s="14">
        <f t="shared" si="0"/>
        <v>12.099999999999994</v>
      </c>
      <c r="AT7" s="14">
        <f t="shared" si="0"/>
        <v>12.099999999999994</v>
      </c>
      <c r="AU7" s="14">
        <f t="shared" si="0"/>
        <v>12.099999999999994</v>
      </c>
      <c r="AV7" s="14">
        <f t="shared" si="0"/>
        <v>12.099999999999994</v>
      </c>
      <c r="AW7" s="14">
        <f t="shared" si="0"/>
        <v>12.099999999999994</v>
      </c>
      <c r="AX7" s="14">
        <f t="shared" si="0"/>
        <v>12.099999999999994</v>
      </c>
      <c r="AY7" s="14">
        <f t="shared" si="0"/>
        <v>12.099999999999994</v>
      </c>
      <c r="AZ7" s="14">
        <f t="shared" si="0"/>
        <v>12.099999999999994</v>
      </c>
      <c r="BA7" s="14">
        <f t="shared" si="0"/>
        <v>12.099999999999994</v>
      </c>
      <c r="BB7" s="14">
        <f t="shared" si="0"/>
        <v>12.099999999999994</v>
      </c>
      <c r="BC7" s="14">
        <f t="shared" si="0"/>
        <v>12.099999999999994</v>
      </c>
      <c r="BD7" s="14">
        <f t="shared" si="0"/>
        <v>12.099999999999994</v>
      </c>
      <c r="BE7" s="14">
        <f t="shared" si="0"/>
        <v>12.099999999999994</v>
      </c>
      <c r="BF7" s="14">
        <f t="shared" si="0"/>
        <v>12.099999999999994</v>
      </c>
      <c r="BG7" s="14">
        <f t="shared" si="0"/>
        <v>12.099999999999994</v>
      </c>
      <c r="BH7" s="14">
        <f t="shared" si="0"/>
        <v>12.099999999999994</v>
      </c>
      <c r="BI7" s="14">
        <f aca="true" t="shared" si="1" ref="BI7:BV7">BH8</f>
        <v>12.099999999999994</v>
      </c>
      <c r="BJ7" s="14">
        <f t="shared" si="1"/>
        <v>12.099999999999994</v>
      </c>
      <c r="BK7" s="14">
        <f t="shared" si="1"/>
        <v>12.099999999999994</v>
      </c>
      <c r="BL7" s="14">
        <f t="shared" si="1"/>
        <v>12.099999999999994</v>
      </c>
      <c r="BM7" s="14">
        <f t="shared" si="1"/>
        <v>12.099999999999994</v>
      </c>
      <c r="BN7" s="14">
        <f t="shared" si="1"/>
        <v>12.099999999999994</v>
      </c>
      <c r="BO7" s="14">
        <f t="shared" si="1"/>
        <v>12.099999999999994</v>
      </c>
      <c r="BP7" s="14">
        <f t="shared" si="1"/>
        <v>12.099999999999994</v>
      </c>
      <c r="BQ7" s="14">
        <f t="shared" si="1"/>
        <v>12.099999999999994</v>
      </c>
      <c r="BR7" s="14">
        <f t="shared" si="1"/>
        <v>12.099999999999994</v>
      </c>
      <c r="BS7" s="14">
        <f t="shared" si="1"/>
        <v>12.099999999999994</v>
      </c>
      <c r="BT7" s="14">
        <f t="shared" si="1"/>
        <v>12.099999999999994</v>
      </c>
      <c r="BU7" s="14">
        <f t="shared" si="1"/>
        <v>12.099999999999994</v>
      </c>
      <c r="BV7" s="14">
        <f t="shared" si="1"/>
        <v>12.099999999999994</v>
      </c>
      <c r="BW7" s="14">
        <f aca="true" t="shared" si="2" ref="BW7:DF7">BV8</f>
        <v>12.099999999999994</v>
      </c>
      <c r="BX7" s="14">
        <f t="shared" si="2"/>
        <v>12.099999999999994</v>
      </c>
      <c r="BY7" s="14">
        <f t="shared" si="2"/>
        <v>12.099999999999994</v>
      </c>
      <c r="BZ7" s="14">
        <f t="shared" si="2"/>
        <v>12.099999999999994</v>
      </c>
      <c r="CA7" s="14">
        <f t="shared" si="2"/>
        <v>12.099999999999994</v>
      </c>
      <c r="CB7" s="14">
        <f t="shared" si="2"/>
        <v>12.099999999999994</v>
      </c>
      <c r="CC7" s="14">
        <f t="shared" si="2"/>
        <v>12.099999999999994</v>
      </c>
      <c r="CD7" s="14">
        <f t="shared" si="2"/>
        <v>12.099999999999994</v>
      </c>
      <c r="CE7" s="14">
        <f t="shared" si="2"/>
        <v>12.099999999999994</v>
      </c>
      <c r="CF7" s="14">
        <f t="shared" si="2"/>
        <v>12.099999999999994</v>
      </c>
      <c r="CG7" s="14">
        <f t="shared" si="2"/>
        <v>12.099999999999994</v>
      </c>
      <c r="CH7" s="14">
        <f t="shared" si="2"/>
        <v>12.099999999999994</v>
      </c>
      <c r="CI7" s="14">
        <f t="shared" si="2"/>
        <v>12.099999999999994</v>
      </c>
      <c r="CJ7" s="14">
        <f t="shared" si="2"/>
        <v>12.099999999999994</v>
      </c>
      <c r="CK7" s="14">
        <f t="shared" si="2"/>
        <v>12.099999999999994</v>
      </c>
      <c r="CL7" s="14">
        <f t="shared" si="2"/>
        <v>12.099999999999994</v>
      </c>
      <c r="CM7" s="14">
        <f t="shared" si="2"/>
        <v>12.099999999999994</v>
      </c>
      <c r="CN7" s="14">
        <f t="shared" si="2"/>
        <v>12.099999999999994</v>
      </c>
      <c r="CO7" s="14">
        <f t="shared" si="2"/>
        <v>12.099999999999994</v>
      </c>
      <c r="CP7" s="14">
        <f t="shared" si="2"/>
        <v>12.099999999999994</v>
      </c>
      <c r="CQ7" s="14">
        <f t="shared" si="2"/>
        <v>12.099999999999994</v>
      </c>
      <c r="CR7" s="14">
        <f t="shared" si="2"/>
        <v>12.099999999999994</v>
      </c>
      <c r="CS7" s="14">
        <f t="shared" si="2"/>
        <v>12.099999999999994</v>
      </c>
      <c r="CT7" s="14">
        <f t="shared" si="2"/>
        <v>12.099999999999994</v>
      </c>
      <c r="CU7" s="14">
        <f t="shared" si="2"/>
        <v>12.099999999999994</v>
      </c>
      <c r="CV7" s="14">
        <f t="shared" si="2"/>
        <v>12.099999999999994</v>
      </c>
      <c r="CW7" s="14">
        <f t="shared" si="2"/>
        <v>12.099999999999994</v>
      </c>
      <c r="CX7" s="14">
        <f t="shared" si="2"/>
        <v>12.099999999999994</v>
      </c>
      <c r="CY7" s="14">
        <f t="shared" si="2"/>
        <v>12.099999999999994</v>
      </c>
      <c r="CZ7" s="14">
        <f t="shared" si="2"/>
        <v>12.099999999999994</v>
      </c>
      <c r="DA7" s="14">
        <f t="shared" si="2"/>
        <v>12.099999999999994</v>
      </c>
      <c r="DB7" s="14">
        <f t="shared" si="2"/>
        <v>12.099999999999994</v>
      </c>
      <c r="DC7" s="14">
        <f t="shared" si="2"/>
        <v>12.099999999999994</v>
      </c>
      <c r="DD7" s="14">
        <f t="shared" si="2"/>
        <v>12.099999999999994</v>
      </c>
      <c r="DE7" s="14">
        <f t="shared" si="2"/>
        <v>12.099999999999994</v>
      </c>
      <c r="DF7" s="14">
        <f t="shared" si="2"/>
        <v>12.099999999999994</v>
      </c>
      <c r="DG7" s="14">
        <f aca="true" t="shared" si="3" ref="DG7:EG7">DF8</f>
        <v>12.099999999999994</v>
      </c>
      <c r="DH7" s="14">
        <f t="shared" si="3"/>
        <v>12.099999999999994</v>
      </c>
      <c r="DI7" s="14">
        <f t="shared" si="3"/>
        <v>12.099999999999994</v>
      </c>
      <c r="DJ7" s="14">
        <f t="shared" si="3"/>
        <v>12.099999999999994</v>
      </c>
      <c r="DK7" s="14">
        <f t="shared" si="3"/>
        <v>12.099999999999994</v>
      </c>
      <c r="DL7" s="14">
        <f t="shared" si="3"/>
        <v>12.099999999999994</v>
      </c>
      <c r="DM7" s="14">
        <f t="shared" si="3"/>
        <v>12.099999999999994</v>
      </c>
      <c r="DN7" s="14">
        <f t="shared" si="3"/>
        <v>12.099999999999994</v>
      </c>
      <c r="DO7" s="14">
        <f t="shared" si="3"/>
        <v>12.099999999999994</v>
      </c>
      <c r="DP7" s="14">
        <f t="shared" si="3"/>
        <v>12.099999999999994</v>
      </c>
      <c r="DQ7" s="14">
        <f t="shared" si="3"/>
        <v>12.099999999999994</v>
      </c>
      <c r="DR7" s="14">
        <f t="shared" si="3"/>
        <v>12.099999999999994</v>
      </c>
      <c r="DS7" s="14">
        <f t="shared" si="3"/>
        <v>12.099999999999994</v>
      </c>
      <c r="DT7" s="14">
        <f t="shared" si="3"/>
        <v>12.099999999999994</v>
      </c>
      <c r="DU7" s="14">
        <f t="shared" si="3"/>
        <v>12.099999999999994</v>
      </c>
      <c r="DV7" s="14">
        <f t="shared" si="3"/>
        <v>12.099999999999994</v>
      </c>
      <c r="DW7" s="14">
        <f t="shared" si="3"/>
        <v>12.099999999999994</v>
      </c>
      <c r="DX7" s="14">
        <f t="shared" si="3"/>
        <v>12.099999999999994</v>
      </c>
      <c r="DY7" s="14">
        <f t="shared" si="3"/>
        <v>12.099999999999994</v>
      </c>
      <c r="DZ7" s="14">
        <f t="shared" si="3"/>
        <v>12.099999999999994</v>
      </c>
      <c r="EA7" s="14">
        <f t="shared" si="3"/>
        <v>12.099999999999994</v>
      </c>
      <c r="EB7" s="14">
        <f t="shared" si="3"/>
        <v>12.099999999999994</v>
      </c>
      <c r="EC7" s="14">
        <f t="shared" si="3"/>
        <v>12.099999999999994</v>
      </c>
      <c r="ED7" s="14">
        <f t="shared" si="3"/>
        <v>12.099999999999994</v>
      </c>
      <c r="EE7" s="14">
        <f t="shared" si="3"/>
        <v>12.099999999999994</v>
      </c>
      <c r="EF7" s="14">
        <f t="shared" si="3"/>
        <v>12.099999999999994</v>
      </c>
      <c r="EG7" s="14">
        <f t="shared" si="3"/>
        <v>12.099999999999994</v>
      </c>
      <c r="EH7" s="14">
        <f>EG8</f>
        <v>12.099999999999994</v>
      </c>
      <c r="EI7" s="14">
        <f>EH8</f>
        <v>12.099999999999994</v>
      </c>
      <c r="EJ7" s="14">
        <f>EI8</f>
        <v>12.099999999999994</v>
      </c>
      <c r="EK7" s="14">
        <f>EJ8</f>
        <v>12.099999999999994</v>
      </c>
      <c r="EL7" s="14">
        <f aca="true" t="shared" si="4" ref="EL7:EU7">EK8</f>
        <v>12.099999999999994</v>
      </c>
      <c r="EM7" s="14">
        <f t="shared" si="4"/>
        <v>12.099999999999994</v>
      </c>
      <c r="EN7" s="14">
        <f t="shared" si="4"/>
        <v>12.099999999999994</v>
      </c>
      <c r="EO7" s="14">
        <f t="shared" si="4"/>
        <v>12.099999999999994</v>
      </c>
      <c r="EP7" s="14">
        <f>EO8-12.1</f>
        <v>0</v>
      </c>
      <c r="EQ7" s="14">
        <f t="shared" si="4"/>
        <v>0</v>
      </c>
      <c r="ER7" s="14">
        <f>EQ8</f>
        <v>0</v>
      </c>
      <c r="ES7" s="14">
        <f>ER8</f>
        <v>0</v>
      </c>
      <c r="ET7" s="14">
        <f>ES8</f>
        <v>0</v>
      </c>
      <c r="EU7" s="14">
        <f t="shared" si="4"/>
        <v>0</v>
      </c>
      <c r="EV7" s="14">
        <f aca="true" t="shared" si="5" ref="EV7:GO7">EU8</f>
        <v>0</v>
      </c>
      <c r="EW7" s="14">
        <f t="shared" si="5"/>
        <v>0</v>
      </c>
      <c r="EX7" s="14">
        <f t="shared" si="5"/>
        <v>0</v>
      </c>
      <c r="EY7" s="14">
        <f t="shared" si="5"/>
        <v>0</v>
      </c>
      <c r="EZ7" s="14">
        <f>EY8+151</f>
        <v>151</v>
      </c>
      <c r="FA7" s="14">
        <f t="shared" si="5"/>
        <v>151</v>
      </c>
      <c r="FB7" s="14">
        <f t="shared" si="5"/>
        <v>0</v>
      </c>
      <c r="FC7" s="14">
        <f t="shared" si="5"/>
        <v>0</v>
      </c>
      <c r="FD7" s="14">
        <f t="shared" si="5"/>
        <v>0</v>
      </c>
      <c r="FE7" s="14">
        <f t="shared" si="5"/>
        <v>0</v>
      </c>
      <c r="FF7" s="14">
        <f t="shared" si="5"/>
        <v>0</v>
      </c>
      <c r="FG7" s="14">
        <f t="shared" si="5"/>
        <v>0</v>
      </c>
      <c r="FH7" s="14">
        <f t="shared" si="5"/>
        <v>0</v>
      </c>
      <c r="FI7" s="14">
        <f t="shared" si="5"/>
        <v>0</v>
      </c>
      <c r="FJ7" s="14">
        <f t="shared" si="5"/>
        <v>0</v>
      </c>
      <c r="FK7" s="14">
        <f t="shared" si="5"/>
        <v>0</v>
      </c>
      <c r="FL7" s="14">
        <f t="shared" si="5"/>
        <v>0</v>
      </c>
      <c r="FM7" s="14">
        <f t="shared" si="5"/>
        <v>0</v>
      </c>
      <c r="FN7" s="14">
        <f t="shared" si="5"/>
        <v>0</v>
      </c>
      <c r="FO7" s="14">
        <f t="shared" si="5"/>
        <v>0</v>
      </c>
      <c r="FP7" s="14">
        <f t="shared" si="5"/>
        <v>0</v>
      </c>
      <c r="FQ7" s="14">
        <f t="shared" si="5"/>
        <v>0</v>
      </c>
      <c r="FR7" s="14">
        <f t="shared" si="5"/>
        <v>0</v>
      </c>
      <c r="FS7" s="14">
        <f t="shared" si="5"/>
        <v>0</v>
      </c>
      <c r="FT7" s="14">
        <f t="shared" si="5"/>
        <v>0</v>
      </c>
      <c r="FU7" s="14">
        <f t="shared" si="5"/>
        <v>0</v>
      </c>
      <c r="FV7" s="14">
        <f t="shared" si="5"/>
        <v>0</v>
      </c>
      <c r="FW7" s="14">
        <f t="shared" si="5"/>
        <v>0</v>
      </c>
      <c r="FX7" s="14">
        <f t="shared" si="5"/>
        <v>0</v>
      </c>
      <c r="FY7" s="14">
        <f t="shared" si="5"/>
        <v>0</v>
      </c>
      <c r="FZ7" s="14">
        <f t="shared" si="5"/>
        <v>0</v>
      </c>
      <c r="GA7" s="14">
        <f t="shared" si="5"/>
        <v>0</v>
      </c>
      <c r="GB7" s="14">
        <f t="shared" si="5"/>
        <v>0</v>
      </c>
      <c r="GC7" s="14">
        <f t="shared" si="5"/>
        <v>0</v>
      </c>
      <c r="GD7" s="14">
        <f t="shared" si="5"/>
        <v>0</v>
      </c>
      <c r="GE7" s="14">
        <f t="shared" si="5"/>
        <v>0</v>
      </c>
      <c r="GF7" s="14">
        <f t="shared" si="5"/>
        <v>0</v>
      </c>
      <c r="GG7" s="14">
        <f t="shared" si="5"/>
        <v>0</v>
      </c>
      <c r="GH7" s="14">
        <f t="shared" si="5"/>
        <v>0</v>
      </c>
      <c r="GI7" s="14">
        <f t="shared" si="5"/>
        <v>0</v>
      </c>
      <c r="GJ7" s="14">
        <f t="shared" si="5"/>
        <v>0</v>
      </c>
      <c r="GK7" s="14">
        <f t="shared" si="5"/>
        <v>0</v>
      </c>
      <c r="GL7" s="14">
        <f t="shared" si="5"/>
        <v>0</v>
      </c>
      <c r="GM7" s="14">
        <f t="shared" si="5"/>
        <v>0</v>
      </c>
      <c r="GN7" s="14">
        <f t="shared" si="5"/>
        <v>0</v>
      </c>
      <c r="GO7" s="14">
        <f t="shared" si="5"/>
        <v>0</v>
      </c>
    </row>
    <row r="8" spans="1:197" ht="15">
      <c r="A8" s="10"/>
      <c r="B8" s="10"/>
      <c r="C8" s="12" t="s">
        <v>218</v>
      </c>
      <c r="D8" s="16">
        <f>D7-D6</f>
        <v>12.099999999999994</v>
      </c>
      <c r="E8" s="16">
        <f>E7-E6</f>
        <v>12.099999999999994</v>
      </c>
      <c r="F8" s="16">
        <f aca="true" t="shared" si="6" ref="F8:BH8">F7-F6</f>
        <v>12.099999999999994</v>
      </c>
      <c r="G8" s="16">
        <f t="shared" si="6"/>
        <v>12.099999999999994</v>
      </c>
      <c r="H8" s="16">
        <f t="shared" si="6"/>
        <v>12.099999999999994</v>
      </c>
      <c r="I8" s="16">
        <f t="shared" si="6"/>
        <v>12.099999999999994</v>
      </c>
      <c r="J8" s="16">
        <f t="shared" si="6"/>
        <v>12.099999999999994</v>
      </c>
      <c r="K8" s="16">
        <f t="shared" si="6"/>
        <v>12.099999999999994</v>
      </c>
      <c r="L8" s="16">
        <f t="shared" si="6"/>
        <v>12.099999999999994</v>
      </c>
      <c r="M8" s="16">
        <f t="shared" si="6"/>
        <v>12.099999999999994</v>
      </c>
      <c r="N8" s="16">
        <f t="shared" si="6"/>
        <v>12.099999999999994</v>
      </c>
      <c r="O8" s="17">
        <f t="shared" si="6"/>
        <v>12.099999999999994</v>
      </c>
      <c r="P8" s="16">
        <f t="shared" si="6"/>
        <v>12.099999999999994</v>
      </c>
      <c r="Q8" s="16">
        <f t="shared" si="6"/>
        <v>12.099999999999994</v>
      </c>
      <c r="R8" s="16">
        <f t="shared" si="6"/>
        <v>12.099999999999994</v>
      </c>
      <c r="S8" s="16">
        <f t="shared" si="6"/>
        <v>12.099999999999994</v>
      </c>
      <c r="T8" s="16">
        <f t="shared" si="6"/>
        <v>12.099999999999994</v>
      </c>
      <c r="U8" s="16">
        <f t="shared" si="6"/>
        <v>12.099999999999994</v>
      </c>
      <c r="V8" s="16">
        <f t="shared" si="6"/>
        <v>12.099999999999994</v>
      </c>
      <c r="W8" s="16">
        <f t="shared" si="6"/>
        <v>12.099999999999994</v>
      </c>
      <c r="X8" s="17">
        <f t="shared" si="6"/>
        <v>12.099999999999994</v>
      </c>
      <c r="Y8" s="16">
        <f t="shared" si="6"/>
        <v>12.099999999999994</v>
      </c>
      <c r="Z8" s="16">
        <f t="shared" si="6"/>
        <v>12.099999999999994</v>
      </c>
      <c r="AA8" s="17">
        <f t="shared" si="6"/>
        <v>12.099999999999994</v>
      </c>
      <c r="AB8" s="16">
        <f t="shared" si="6"/>
        <v>12.099999999999994</v>
      </c>
      <c r="AC8" s="16">
        <f t="shared" si="6"/>
        <v>12.099999999999994</v>
      </c>
      <c r="AD8" s="17">
        <f t="shared" si="6"/>
        <v>12.099999999999994</v>
      </c>
      <c r="AE8" s="17">
        <f t="shared" si="6"/>
        <v>12.099999999999994</v>
      </c>
      <c r="AF8" s="16">
        <f t="shared" si="6"/>
        <v>12.099999999999994</v>
      </c>
      <c r="AG8" s="16">
        <f t="shared" si="6"/>
        <v>12.099999999999994</v>
      </c>
      <c r="AH8" s="16">
        <f t="shared" si="6"/>
        <v>12.099999999999994</v>
      </c>
      <c r="AI8" s="16">
        <f t="shared" si="6"/>
        <v>12.099999999999994</v>
      </c>
      <c r="AJ8" s="16">
        <f t="shared" si="6"/>
        <v>12.099999999999994</v>
      </c>
      <c r="AK8" s="16">
        <f t="shared" si="6"/>
        <v>12.099999999999994</v>
      </c>
      <c r="AL8" s="16">
        <f t="shared" si="6"/>
        <v>12.099999999999994</v>
      </c>
      <c r="AM8" s="16">
        <f t="shared" si="6"/>
        <v>12.099999999999994</v>
      </c>
      <c r="AN8" s="16">
        <f t="shared" si="6"/>
        <v>12.099999999999994</v>
      </c>
      <c r="AO8" s="16">
        <f t="shared" si="6"/>
        <v>12.099999999999994</v>
      </c>
      <c r="AP8" s="16">
        <f t="shared" si="6"/>
        <v>12.099999999999994</v>
      </c>
      <c r="AQ8" s="16">
        <f t="shared" si="6"/>
        <v>12.099999999999994</v>
      </c>
      <c r="AR8" s="16">
        <f t="shared" si="6"/>
        <v>12.099999999999994</v>
      </c>
      <c r="AS8" s="16">
        <f t="shared" si="6"/>
        <v>12.099999999999994</v>
      </c>
      <c r="AT8" s="16">
        <f t="shared" si="6"/>
        <v>12.099999999999994</v>
      </c>
      <c r="AU8" s="16">
        <f t="shared" si="6"/>
        <v>12.099999999999994</v>
      </c>
      <c r="AV8" s="16">
        <f t="shared" si="6"/>
        <v>12.099999999999994</v>
      </c>
      <c r="AW8" s="16">
        <f t="shared" si="6"/>
        <v>12.099999999999994</v>
      </c>
      <c r="AX8" s="16">
        <f t="shared" si="6"/>
        <v>12.099999999999994</v>
      </c>
      <c r="AY8" s="16">
        <f t="shared" si="6"/>
        <v>12.099999999999994</v>
      </c>
      <c r="AZ8" s="16">
        <f t="shared" si="6"/>
        <v>12.099999999999994</v>
      </c>
      <c r="BA8" s="16">
        <f t="shared" si="6"/>
        <v>12.099999999999994</v>
      </c>
      <c r="BB8" s="16">
        <f t="shared" si="6"/>
        <v>12.099999999999994</v>
      </c>
      <c r="BC8" s="16">
        <f t="shared" si="6"/>
        <v>12.099999999999994</v>
      </c>
      <c r="BD8" s="16">
        <f t="shared" si="6"/>
        <v>12.099999999999994</v>
      </c>
      <c r="BE8" s="16">
        <f t="shared" si="6"/>
        <v>12.099999999999994</v>
      </c>
      <c r="BF8" s="16">
        <f t="shared" si="6"/>
        <v>12.099999999999994</v>
      </c>
      <c r="BG8" s="16">
        <f t="shared" si="6"/>
        <v>12.099999999999994</v>
      </c>
      <c r="BH8" s="16">
        <f t="shared" si="6"/>
        <v>12.099999999999994</v>
      </c>
      <c r="BI8" s="16">
        <f aca="true" t="shared" si="7" ref="BI8:BV8">BI7-BI6</f>
        <v>12.099999999999994</v>
      </c>
      <c r="BJ8" s="16">
        <f t="shared" si="7"/>
        <v>12.099999999999994</v>
      </c>
      <c r="BK8" s="16">
        <f t="shared" si="7"/>
        <v>12.099999999999994</v>
      </c>
      <c r="BL8" s="16">
        <f t="shared" si="7"/>
        <v>12.099999999999994</v>
      </c>
      <c r="BM8" s="16">
        <f t="shared" si="7"/>
        <v>12.099999999999994</v>
      </c>
      <c r="BN8" s="16">
        <f t="shared" si="7"/>
        <v>12.099999999999994</v>
      </c>
      <c r="BO8" s="16">
        <f t="shared" si="7"/>
        <v>12.099999999999994</v>
      </c>
      <c r="BP8" s="16">
        <f t="shared" si="7"/>
        <v>12.099999999999994</v>
      </c>
      <c r="BQ8" s="16">
        <f t="shared" si="7"/>
        <v>12.099999999999994</v>
      </c>
      <c r="BR8" s="16">
        <f t="shared" si="7"/>
        <v>12.099999999999994</v>
      </c>
      <c r="BS8" s="16">
        <f t="shared" si="7"/>
        <v>12.099999999999994</v>
      </c>
      <c r="BT8" s="16">
        <f t="shared" si="7"/>
        <v>12.099999999999994</v>
      </c>
      <c r="BU8" s="16">
        <f t="shared" si="7"/>
        <v>12.099999999999994</v>
      </c>
      <c r="BV8" s="16">
        <f t="shared" si="7"/>
        <v>12.099999999999994</v>
      </c>
      <c r="BW8" s="16">
        <f aca="true" t="shared" si="8" ref="BW8:DF8">BW7-BW6</f>
        <v>12.099999999999994</v>
      </c>
      <c r="BX8" s="16">
        <f t="shared" si="8"/>
        <v>12.099999999999994</v>
      </c>
      <c r="BY8" s="16">
        <f t="shared" si="8"/>
        <v>12.099999999999994</v>
      </c>
      <c r="BZ8" s="16">
        <f t="shared" si="8"/>
        <v>12.099999999999994</v>
      </c>
      <c r="CA8" s="16">
        <f t="shared" si="8"/>
        <v>12.099999999999994</v>
      </c>
      <c r="CB8" s="16">
        <f t="shared" si="8"/>
        <v>12.099999999999994</v>
      </c>
      <c r="CC8" s="16">
        <f t="shared" si="8"/>
        <v>12.099999999999994</v>
      </c>
      <c r="CD8" s="16">
        <f t="shared" si="8"/>
        <v>12.099999999999994</v>
      </c>
      <c r="CE8" s="16">
        <f t="shared" si="8"/>
        <v>12.099999999999994</v>
      </c>
      <c r="CF8" s="16">
        <f t="shared" si="8"/>
        <v>12.099999999999994</v>
      </c>
      <c r="CG8" s="16">
        <f t="shared" si="8"/>
        <v>12.099999999999994</v>
      </c>
      <c r="CH8" s="16">
        <f t="shared" si="8"/>
        <v>12.099999999999994</v>
      </c>
      <c r="CI8" s="16">
        <f t="shared" si="8"/>
        <v>12.099999999999994</v>
      </c>
      <c r="CJ8" s="16">
        <f t="shared" si="8"/>
        <v>12.099999999999994</v>
      </c>
      <c r="CK8" s="16">
        <f t="shared" si="8"/>
        <v>12.099999999999994</v>
      </c>
      <c r="CL8" s="16">
        <f t="shared" si="8"/>
        <v>12.099999999999994</v>
      </c>
      <c r="CM8" s="16">
        <f t="shared" si="8"/>
        <v>12.099999999999994</v>
      </c>
      <c r="CN8" s="16">
        <f t="shared" si="8"/>
        <v>12.099999999999994</v>
      </c>
      <c r="CO8" s="16">
        <f t="shared" si="8"/>
        <v>12.099999999999994</v>
      </c>
      <c r="CP8" s="16">
        <f t="shared" si="8"/>
        <v>12.099999999999994</v>
      </c>
      <c r="CQ8" s="16">
        <f t="shared" si="8"/>
        <v>12.099999999999994</v>
      </c>
      <c r="CR8" s="16">
        <f t="shared" si="8"/>
        <v>12.099999999999994</v>
      </c>
      <c r="CS8" s="16">
        <f t="shared" si="8"/>
        <v>12.099999999999994</v>
      </c>
      <c r="CT8" s="16">
        <f t="shared" si="8"/>
        <v>12.099999999999994</v>
      </c>
      <c r="CU8" s="16">
        <f t="shared" si="8"/>
        <v>12.099999999999994</v>
      </c>
      <c r="CV8" s="16">
        <f t="shared" si="8"/>
        <v>12.099999999999994</v>
      </c>
      <c r="CW8" s="16">
        <f t="shared" si="8"/>
        <v>12.099999999999994</v>
      </c>
      <c r="CX8" s="16">
        <f t="shared" si="8"/>
        <v>12.099999999999994</v>
      </c>
      <c r="CY8" s="16">
        <f t="shared" si="8"/>
        <v>12.099999999999994</v>
      </c>
      <c r="CZ8" s="16">
        <f t="shared" si="8"/>
        <v>12.099999999999994</v>
      </c>
      <c r="DA8" s="16">
        <f t="shared" si="8"/>
        <v>12.099999999999994</v>
      </c>
      <c r="DB8" s="16">
        <f t="shared" si="8"/>
        <v>12.099999999999994</v>
      </c>
      <c r="DC8" s="16">
        <f t="shared" si="8"/>
        <v>12.099999999999994</v>
      </c>
      <c r="DD8" s="16">
        <f t="shared" si="8"/>
        <v>12.099999999999994</v>
      </c>
      <c r="DE8" s="16">
        <f t="shared" si="8"/>
        <v>12.099999999999994</v>
      </c>
      <c r="DF8" s="16">
        <f t="shared" si="8"/>
        <v>12.099999999999994</v>
      </c>
      <c r="DG8" s="16">
        <f aca="true" t="shared" si="9" ref="DG8:DS8">DG7-DG6</f>
        <v>12.099999999999994</v>
      </c>
      <c r="DH8" s="16">
        <f t="shared" si="9"/>
        <v>12.099999999999994</v>
      </c>
      <c r="DI8" s="16">
        <f t="shared" si="9"/>
        <v>12.099999999999994</v>
      </c>
      <c r="DJ8" s="16">
        <f t="shared" si="9"/>
        <v>12.099999999999994</v>
      </c>
      <c r="DK8" s="16">
        <f t="shared" si="9"/>
        <v>12.099999999999994</v>
      </c>
      <c r="DL8" s="16">
        <f t="shared" si="9"/>
        <v>12.099999999999994</v>
      </c>
      <c r="DM8" s="16">
        <f t="shared" si="9"/>
        <v>12.099999999999994</v>
      </c>
      <c r="DN8" s="16">
        <f t="shared" si="9"/>
        <v>12.099999999999994</v>
      </c>
      <c r="DO8" s="16">
        <f t="shared" si="9"/>
        <v>12.099999999999994</v>
      </c>
      <c r="DP8" s="16">
        <f t="shared" si="9"/>
        <v>12.099999999999994</v>
      </c>
      <c r="DQ8" s="16">
        <f t="shared" si="9"/>
        <v>12.099999999999994</v>
      </c>
      <c r="DR8" s="16">
        <f t="shared" si="9"/>
        <v>12.099999999999994</v>
      </c>
      <c r="DS8" s="16">
        <f t="shared" si="9"/>
        <v>12.099999999999994</v>
      </c>
      <c r="DT8" s="16">
        <f aca="true" t="shared" si="10" ref="DT8:EK8">DT7-DT6</f>
        <v>12.099999999999994</v>
      </c>
      <c r="DU8" s="16">
        <f t="shared" si="10"/>
        <v>12.099999999999994</v>
      </c>
      <c r="DV8" s="16">
        <f t="shared" si="10"/>
        <v>12.099999999999994</v>
      </c>
      <c r="DW8" s="16">
        <f t="shared" si="10"/>
        <v>12.099999999999994</v>
      </c>
      <c r="DX8" s="16">
        <f t="shared" si="10"/>
        <v>12.099999999999994</v>
      </c>
      <c r="DY8" s="16">
        <f t="shared" si="10"/>
        <v>12.099999999999994</v>
      </c>
      <c r="DZ8" s="16">
        <f t="shared" si="10"/>
        <v>12.099999999999994</v>
      </c>
      <c r="EA8" s="16">
        <f t="shared" si="10"/>
        <v>12.099999999999994</v>
      </c>
      <c r="EB8" s="16">
        <f t="shared" si="10"/>
        <v>12.099999999999994</v>
      </c>
      <c r="EC8" s="16">
        <f t="shared" si="10"/>
        <v>12.099999999999994</v>
      </c>
      <c r="ED8" s="16">
        <f t="shared" si="10"/>
        <v>12.099999999999994</v>
      </c>
      <c r="EE8" s="16">
        <f t="shared" si="10"/>
        <v>12.099999999999994</v>
      </c>
      <c r="EF8" s="16">
        <f t="shared" si="10"/>
        <v>12.099999999999994</v>
      </c>
      <c r="EG8" s="16">
        <f t="shared" si="10"/>
        <v>12.099999999999994</v>
      </c>
      <c r="EH8" s="16">
        <f t="shared" si="10"/>
        <v>12.099999999999994</v>
      </c>
      <c r="EI8" s="16">
        <f t="shared" si="10"/>
        <v>12.099999999999994</v>
      </c>
      <c r="EJ8" s="16">
        <f t="shared" si="10"/>
        <v>12.099999999999994</v>
      </c>
      <c r="EK8" s="16">
        <f t="shared" si="10"/>
        <v>12.099999999999994</v>
      </c>
      <c r="EL8" s="16">
        <f aca="true" t="shared" si="11" ref="EL8:EU8">EL7-EL6</f>
        <v>12.099999999999994</v>
      </c>
      <c r="EM8" s="16">
        <f t="shared" si="11"/>
        <v>12.099999999999994</v>
      </c>
      <c r="EN8" s="16">
        <f t="shared" si="11"/>
        <v>12.099999999999994</v>
      </c>
      <c r="EO8" s="16">
        <f t="shared" si="11"/>
        <v>12.099999999999994</v>
      </c>
      <c r="EP8" s="16">
        <f t="shared" si="11"/>
        <v>0</v>
      </c>
      <c r="EQ8" s="16">
        <f t="shared" si="11"/>
        <v>0</v>
      </c>
      <c r="ER8" s="16">
        <f t="shared" si="11"/>
        <v>0</v>
      </c>
      <c r="ES8" s="16">
        <f t="shared" si="11"/>
        <v>0</v>
      </c>
      <c r="ET8" s="16">
        <f t="shared" si="11"/>
        <v>0</v>
      </c>
      <c r="EU8" s="16">
        <f t="shared" si="11"/>
        <v>0</v>
      </c>
      <c r="EV8" s="16">
        <f aca="true" t="shared" si="12" ref="EV8:GO8">EV7-EV6</f>
        <v>0</v>
      </c>
      <c r="EW8" s="16">
        <f t="shared" si="12"/>
        <v>0</v>
      </c>
      <c r="EX8" s="16">
        <f t="shared" si="12"/>
        <v>0</v>
      </c>
      <c r="EY8" s="16">
        <f t="shared" si="12"/>
        <v>0</v>
      </c>
      <c r="EZ8" s="16">
        <f t="shared" si="12"/>
        <v>151</v>
      </c>
      <c r="FA8" s="16">
        <f t="shared" si="12"/>
        <v>0</v>
      </c>
      <c r="FB8" s="16">
        <f t="shared" si="12"/>
        <v>0</v>
      </c>
      <c r="FC8" s="16">
        <f t="shared" si="12"/>
        <v>0</v>
      </c>
      <c r="FD8" s="16">
        <f t="shared" si="12"/>
        <v>0</v>
      </c>
      <c r="FE8" s="16">
        <f t="shared" si="12"/>
        <v>0</v>
      </c>
      <c r="FF8" s="16">
        <f t="shared" si="12"/>
        <v>0</v>
      </c>
      <c r="FG8" s="16">
        <f t="shared" si="12"/>
        <v>0</v>
      </c>
      <c r="FH8" s="16">
        <f t="shared" si="12"/>
        <v>0</v>
      </c>
      <c r="FI8" s="16">
        <f t="shared" si="12"/>
        <v>0</v>
      </c>
      <c r="FJ8" s="16">
        <f t="shared" si="12"/>
        <v>0</v>
      </c>
      <c r="FK8" s="16">
        <f t="shared" si="12"/>
        <v>0</v>
      </c>
      <c r="FL8" s="16">
        <f t="shared" si="12"/>
        <v>0</v>
      </c>
      <c r="FM8" s="16">
        <f t="shared" si="12"/>
        <v>0</v>
      </c>
      <c r="FN8" s="16">
        <f t="shared" si="12"/>
        <v>0</v>
      </c>
      <c r="FO8" s="16">
        <f t="shared" si="12"/>
        <v>0</v>
      </c>
      <c r="FP8" s="16">
        <f t="shared" si="12"/>
        <v>0</v>
      </c>
      <c r="FQ8" s="16">
        <f t="shared" si="12"/>
        <v>0</v>
      </c>
      <c r="FR8" s="16">
        <f t="shared" si="12"/>
        <v>0</v>
      </c>
      <c r="FS8" s="16">
        <f t="shared" si="12"/>
        <v>0</v>
      </c>
      <c r="FT8" s="16">
        <f t="shared" si="12"/>
        <v>0</v>
      </c>
      <c r="FU8" s="16">
        <f t="shared" si="12"/>
        <v>0</v>
      </c>
      <c r="FV8" s="16">
        <f t="shared" si="12"/>
        <v>0</v>
      </c>
      <c r="FW8" s="16">
        <f t="shared" si="12"/>
        <v>0</v>
      </c>
      <c r="FX8" s="16">
        <f t="shared" si="12"/>
        <v>0</v>
      </c>
      <c r="FY8" s="16">
        <f t="shared" si="12"/>
        <v>0</v>
      </c>
      <c r="FZ8" s="16">
        <f t="shared" si="12"/>
        <v>0</v>
      </c>
      <c r="GA8" s="16">
        <f t="shared" si="12"/>
        <v>0</v>
      </c>
      <c r="GB8" s="16">
        <f t="shared" si="12"/>
        <v>0</v>
      </c>
      <c r="GC8" s="16">
        <f t="shared" si="12"/>
        <v>0</v>
      </c>
      <c r="GD8" s="16">
        <f t="shared" si="12"/>
        <v>0</v>
      </c>
      <c r="GE8" s="16">
        <f t="shared" si="12"/>
        <v>0</v>
      </c>
      <c r="GF8" s="16">
        <f t="shared" si="12"/>
        <v>0</v>
      </c>
      <c r="GG8" s="16">
        <f t="shared" si="12"/>
        <v>0</v>
      </c>
      <c r="GH8" s="16">
        <f t="shared" si="12"/>
        <v>0</v>
      </c>
      <c r="GI8" s="16">
        <f t="shared" si="12"/>
        <v>0</v>
      </c>
      <c r="GJ8" s="16">
        <f t="shared" si="12"/>
        <v>0</v>
      </c>
      <c r="GK8" s="16">
        <f t="shared" si="12"/>
        <v>0</v>
      </c>
      <c r="GL8" s="16">
        <f t="shared" si="12"/>
        <v>0</v>
      </c>
      <c r="GM8" s="16">
        <f t="shared" si="12"/>
        <v>0</v>
      </c>
      <c r="GN8" s="16">
        <f t="shared" si="12"/>
        <v>0</v>
      </c>
      <c r="GO8" s="16">
        <f t="shared" si="12"/>
        <v>0</v>
      </c>
    </row>
    <row r="9" spans="1:183" ht="15">
      <c r="A9" s="18" t="s">
        <v>219</v>
      </c>
      <c r="B9" s="10">
        <v>21</v>
      </c>
      <c r="C9" s="12" t="s">
        <v>216</v>
      </c>
      <c r="D9" s="19">
        <v>50</v>
      </c>
      <c r="E9" s="9"/>
      <c r="F9" s="13">
        <v>40</v>
      </c>
      <c r="G9" s="13">
        <v>65</v>
      </c>
      <c r="O9" s="13">
        <v>311.4</v>
      </c>
      <c r="P9" s="13">
        <v>50</v>
      </c>
      <c r="R9" s="13">
        <v>119.5</v>
      </c>
      <c r="T9" s="13">
        <v>60</v>
      </c>
      <c r="X9" s="13">
        <v>120</v>
      </c>
      <c r="Y9" s="13">
        <v>75</v>
      </c>
      <c r="Z9" s="13">
        <v>60</v>
      </c>
      <c r="AA9" s="7"/>
      <c r="AB9" s="13">
        <v>65</v>
      </c>
      <c r="AD9" s="13">
        <v>120</v>
      </c>
      <c r="AE9" s="13">
        <v>50</v>
      </c>
      <c r="AF9" s="13">
        <v>50</v>
      </c>
      <c r="AG9" s="13">
        <v>45</v>
      </c>
      <c r="AH9" s="13">
        <v>45</v>
      </c>
      <c r="AP9" s="13">
        <v>350</v>
      </c>
      <c r="AR9" s="13">
        <v>40</v>
      </c>
      <c r="AV9" s="20">
        <v>80</v>
      </c>
      <c r="AW9" s="20">
        <v>40</v>
      </c>
      <c r="AX9" s="20">
        <v>40</v>
      </c>
      <c r="AY9" s="20">
        <v>40</v>
      </c>
      <c r="AZ9" s="20">
        <v>40</v>
      </c>
      <c r="BB9" s="20">
        <v>55</v>
      </c>
      <c r="BC9" s="20">
        <v>55</v>
      </c>
      <c r="BD9" s="20">
        <v>60</v>
      </c>
      <c r="BE9" s="20">
        <v>50</v>
      </c>
      <c r="BF9" s="20">
        <v>51.1</v>
      </c>
      <c r="BP9" s="13">
        <v>550</v>
      </c>
      <c r="BR9" s="20">
        <v>80</v>
      </c>
      <c r="BW9" s="20">
        <v>150</v>
      </c>
      <c r="BX9" s="20">
        <v>40</v>
      </c>
      <c r="BZ9" s="20">
        <v>60</v>
      </c>
      <c r="CA9" s="20">
        <v>60</v>
      </c>
      <c r="CB9" s="20">
        <v>60</v>
      </c>
      <c r="CC9" s="20">
        <v>60</v>
      </c>
      <c r="CD9" s="13">
        <v>60</v>
      </c>
      <c r="CF9" s="20">
        <v>60</v>
      </c>
      <c r="CG9" s="20">
        <v>50</v>
      </c>
      <c r="CH9" s="20">
        <v>60</v>
      </c>
      <c r="CI9" s="7"/>
      <c r="CJ9" s="13">
        <v>120</v>
      </c>
      <c r="CP9" s="13">
        <v>350</v>
      </c>
      <c r="CR9" s="20">
        <v>40</v>
      </c>
      <c r="CS9" s="20">
        <v>40</v>
      </c>
      <c r="CT9" s="20">
        <v>46.4</v>
      </c>
      <c r="CU9" s="20">
        <v>30</v>
      </c>
      <c r="CV9" s="20">
        <v>30</v>
      </c>
      <c r="CZ9" s="20">
        <v>97</v>
      </c>
      <c r="DA9" s="20">
        <v>40</v>
      </c>
      <c r="DB9" s="20">
        <v>50</v>
      </c>
      <c r="DD9" s="20">
        <v>50</v>
      </c>
      <c r="DE9" s="20">
        <v>50</v>
      </c>
      <c r="DF9" s="20">
        <v>40</v>
      </c>
      <c r="DG9" s="20">
        <v>40</v>
      </c>
      <c r="DH9" s="20">
        <v>40</v>
      </c>
      <c r="DP9" s="7"/>
      <c r="DQ9" s="13">
        <v>200.7</v>
      </c>
      <c r="DR9" s="7"/>
      <c r="DS9" s="13">
        <v>40</v>
      </c>
      <c r="DT9" s="20">
        <v>50</v>
      </c>
      <c r="DV9" s="20">
        <v>35</v>
      </c>
      <c r="DW9" s="20">
        <v>35</v>
      </c>
      <c r="DX9" s="20">
        <v>35</v>
      </c>
      <c r="DY9" s="20">
        <v>35</v>
      </c>
      <c r="DZ9" s="20">
        <v>35</v>
      </c>
      <c r="EB9" s="20">
        <v>50</v>
      </c>
      <c r="EC9" s="20">
        <v>50</v>
      </c>
      <c r="ED9" s="20">
        <v>50</v>
      </c>
      <c r="EE9" s="20">
        <v>50</v>
      </c>
      <c r="EF9" s="13">
        <v>50</v>
      </c>
      <c r="EP9" s="13">
        <v>375</v>
      </c>
      <c r="ER9" s="13">
        <v>58.1</v>
      </c>
      <c r="ET9" s="20">
        <v>60</v>
      </c>
      <c r="EU9" s="20">
        <v>50</v>
      </c>
      <c r="EV9" s="20">
        <v>55</v>
      </c>
      <c r="EW9" s="21">
        <v>60</v>
      </c>
      <c r="EX9" s="20">
        <v>59.6</v>
      </c>
      <c r="EZ9" s="20">
        <v>60</v>
      </c>
      <c r="FA9" s="20">
        <v>60</v>
      </c>
      <c r="FB9" s="20">
        <v>60</v>
      </c>
      <c r="FD9" s="20">
        <v>120</v>
      </c>
      <c r="FF9" s="20">
        <v>75</v>
      </c>
      <c r="FG9" s="101">
        <v>60</v>
      </c>
      <c r="FH9" s="101">
        <v>60</v>
      </c>
      <c r="FI9" s="101">
        <v>60</v>
      </c>
      <c r="FR9">
        <v>400</v>
      </c>
      <c r="FT9">
        <v>45</v>
      </c>
      <c r="FU9">
        <v>45</v>
      </c>
      <c r="FV9">
        <v>50</v>
      </c>
      <c r="FX9">
        <v>50</v>
      </c>
      <c r="FY9">
        <v>40</v>
      </c>
      <c r="FZ9">
        <v>40</v>
      </c>
      <c r="GA9">
        <v>40</v>
      </c>
    </row>
    <row r="10" spans="1:197" ht="15">
      <c r="A10" s="22" t="s">
        <v>220</v>
      </c>
      <c r="B10" s="23"/>
      <c r="C10" s="24" t="s">
        <v>217</v>
      </c>
      <c r="D10" s="25">
        <v>259.3</v>
      </c>
      <c r="E10" s="14">
        <f>D11</f>
        <v>209.3</v>
      </c>
      <c r="F10" s="14">
        <f>E11+159.5</f>
        <v>368.8</v>
      </c>
      <c r="G10" s="14">
        <f>F11</f>
        <v>328.8</v>
      </c>
      <c r="H10" s="14">
        <f aca="true" t="shared" si="13" ref="H10:BM10">G11</f>
        <v>263.8</v>
      </c>
      <c r="I10" s="14">
        <f t="shared" si="13"/>
        <v>263.8</v>
      </c>
      <c r="J10" s="14">
        <f>I11+31.4-1.8+18</f>
        <v>311.4</v>
      </c>
      <c r="K10" s="14">
        <f t="shared" si="13"/>
        <v>311.4</v>
      </c>
      <c r="L10" s="14">
        <f>K11+199.3</f>
        <v>510.7</v>
      </c>
      <c r="M10" s="14">
        <f t="shared" si="13"/>
        <v>510.7</v>
      </c>
      <c r="N10" s="14">
        <f>M11+1+54.2</f>
        <v>565.9</v>
      </c>
      <c r="O10" s="15">
        <f t="shared" si="13"/>
        <v>565.9</v>
      </c>
      <c r="P10" s="14">
        <f t="shared" si="13"/>
        <v>254.5</v>
      </c>
      <c r="Q10" s="14">
        <f t="shared" si="13"/>
        <v>204.5</v>
      </c>
      <c r="R10" s="14">
        <f>Q11+1.9+0.2+162.6</f>
        <v>369.2</v>
      </c>
      <c r="S10" s="14">
        <f t="shared" si="13"/>
        <v>249.7</v>
      </c>
      <c r="T10" s="14">
        <f t="shared" si="13"/>
        <v>249.7</v>
      </c>
      <c r="U10" s="14">
        <f>T11+21.7+37.1</f>
        <v>248.49999999999997</v>
      </c>
      <c r="V10" s="14">
        <f t="shared" si="13"/>
        <v>248.49999999999997</v>
      </c>
      <c r="W10" s="14">
        <f t="shared" si="13"/>
        <v>248.49999999999997</v>
      </c>
      <c r="X10" s="15">
        <f>W11+6.8+97.7+45.2</f>
        <v>398.2</v>
      </c>
      <c r="Y10" s="14">
        <f>X11+39.5</f>
        <v>317.7</v>
      </c>
      <c r="Z10" s="14">
        <f t="shared" si="13"/>
        <v>242.7</v>
      </c>
      <c r="AA10" s="15">
        <f t="shared" si="13"/>
        <v>182.7</v>
      </c>
      <c r="AB10" s="14">
        <f t="shared" si="13"/>
        <v>182.7</v>
      </c>
      <c r="AC10" s="14">
        <f t="shared" si="13"/>
        <v>117.69999999999999</v>
      </c>
      <c r="AD10" s="15">
        <f>AC11+231.3</f>
        <v>349</v>
      </c>
      <c r="AE10" s="15">
        <f t="shared" si="13"/>
        <v>229</v>
      </c>
      <c r="AF10" s="14">
        <f t="shared" si="13"/>
        <v>179</v>
      </c>
      <c r="AG10" s="14">
        <f t="shared" si="13"/>
        <v>129</v>
      </c>
      <c r="AH10" s="14">
        <f t="shared" si="13"/>
        <v>84</v>
      </c>
      <c r="AI10" s="14">
        <f t="shared" si="13"/>
        <v>39</v>
      </c>
      <c r="AJ10" s="14">
        <f>AI11+147.3+5.1</f>
        <v>191.4</v>
      </c>
      <c r="AK10" s="14">
        <f>AJ11+12.1</f>
        <v>203.5</v>
      </c>
      <c r="AL10" s="14">
        <f t="shared" si="13"/>
        <v>203.5</v>
      </c>
      <c r="AM10" s="14">
        <f t="shared" si="13"/>
        <v>203.5</v>
      </c>
      <c r="AN10" s="14">
        <f t="shared" si="13"/>
        <v>203.5</v>
      </c>
      <c r="AO10" s="14">
        <f t="shared" si="13"/>
        <v>203.5</v>
      </c>
      <c r="AP10" s="14">
        <f>AO11+67.4+31.4+28.5+156.3</f>
        <v>487.09999999999997</v>
      </c>
      <c r="AQ10" s="14">
        <f t="shared" si="13"/>
        <v>137.09999999999997</v>
      </c>
      <c r="AR10" s="14">
        <f t="shared" si="13"/>
        <v>137.09999999999997</v>
      </c>
      <c r="AS10" s="14">
        <f t="shared" si="13"/>
        <v>97.09999999999997</v>
      </c>
      <c r="AT10" s="14">
        <f t="shared" si="13"/>
        <v>97.09999999999997</v>
      </c>
      <c r="AU10" s="14">
        <f t="shared" si="13"/>
        <v>97.09999999999997</v>
      </c>
      <c r="AV10" s="14">
        <f>AU11+235.4</f>
        <v>332.5</v>
      </c>
      <c r="AW10" s="14">
        <f t="shared" si="13"/>
        <v>252.5</v>
      </c>
      <c r="AX10" s="14">
        <f t="shared" si="13"/>
        <v>212.5</v>
      </c>
      <c r="AY10" s="14">
        <f>AX11+0.4+54.1+36.3+55.5</f>
        <v>318.8</v>
      </c>
      <c r="AZ10" s="14">
        <f t="shared" si="13"/>
        <v>278.8</v>
      </c>
      <c r="BA10" s="14">
        <f t="shared" si="13"/>
        <v>238.8</v>
      </c>
      <c r="BB10" s="14">
        <f>BA11+31.6+169.6</f>
        <v>440</v>
      </c>
      <c r="BC10" s="14">
        <f>BB11+27.8</f>
        <v>412.8</v>
      </c>
      <c r="BD10" s="14">
        <f t="shared" si="13"/>
        <v>357.8</v>
      </c>
      <c r="BE10" s="14">
        <f t="shared" si="13"/>
        <v>297.8</v>
      </c>
      <c r="BF10" s="14">
        <f t="shared" si="13"/>
        <v>247.8</v>
      </c>
      <c r="BG10" s="14">
        <f t="shared" si="13"/>
        <v>196.70000000000002</v>
      </c>
      <c r="BH10" s="14">
        <f t="shared" si="13"/>
        <v>196.70000000000002</v>
      </c>
      <c r="BI10" s="14">
        <f t="shared" si="13"/>
        <v>196.70000000000002</v>
      </c>
      <c r="BJ10" s="14">
        <f>BI11+82.4+32.7+91.9</f>
        <v>403.70000000000005</v>
      </c>
      <c r="BK10" s="14">
        <f t="shared" si="13"/>
        <v>403.70000000000005</v>
      </c>
      <c r="BL10" s="14">
        <f t="shared" si="13"/>
        <v>403.70000000000005</v>
      </c>
      <c r="BM10" s="14">
        <f t="shared" si="13"/>
        <v>403.70000000000005</v>
      </c>
      <c r="BN10" s="14">
        <f>BM11+26.6-3+259.6</f>
        <v>686.9000000000001</v>
      </c>
      <c r="BO10" s="14">
        <f>BN11+23.5</f>
        <v>710.4000000000001</v>
      </c>
      <c r="BP10" s="14">
        <f>BO11+9.3+27.3</f>
        <v>747</v>
      </c>
      <c r="BQ10" s="14">
        <f>BP11+21.6</f>
        <v>218.6</v>
      </c>
      <c r="BR10" s="14">
        <f>BQ11+158</f>
        <v>376.6</v>
      </c>
      <c r="BS10" s="14">
        <f aca="true" t="shared" si="14" ref="BS10:CJ10">BR11</f>
        <v>296.6</v>
      </c>
      <c r="BT10" s="26">
        <f>BS11+23.7</f>
        <v>320.3</v>
      </c>
      <c r="BU10" s="26">
        <f>BT11+6.9</f>
        <v>327.2</v>
      </c>
      <c r="BV10" s="26">
        <f t="shared" si="14"/>
        <v>327.2</v>
      </c>
      <c r="BW10" s="14">
        <f t="shared" si="14"/>
        <v>327.2</v>
      </c>
      <c r="BX10" s="14">
        <f t="shared" si="14"/>
        <v>177.2</v>
      </c>
      <c r="BY10" s="14">
        <f>BX11-6.6</f>
        <v>130.6</v>
      </c>
      <c r="BZ10" s="14">
        <f>BY11+251.7+42.5</f>
        <v>424.79999999999995</v>
      </c>
      <c r="CA10" s="14">
        <f t="shared" si="14"/>
        <v>364.79999999999995</v>
      </c>
      <c r="CB10" s="14">
        <f>CA11+7.1</f>
        <v>311.9</v>
      </c>
      <c r="CC10" s="14">
        <f t="shared" si="14"/>
        <v>251.89999999999998</v>
      </c>
      <c r="CD10" s="14">
        <f t="shared" si="14"/>
        <v>191.89999999999998</v>
      </c>
      <c r="CE10" s="14">
        <f t="shared" si="14"/>
        <v>131.89999999999998</v>
      </c>
      <c r="CF10" s="14">
        <f t="shared" si="14"/>
        <v>131.89999999999998</v>
      </c>
      <c r="CG10" s="14">
        <f t="shared" si="14"/>
        <v>71.89999999999998</v>
      </c>
      <c r="CH10" s="14">
        <f>CG11+321.6</f>
        <v>343.5</v>
      </c>
      <c r="CI10" s="14">
        <f t="shared" si="14"/>
        <v>283.5</v>
      </c>
      <c r="CJ10" s="14">
        <f t="shared" si="14"/>
        <v>283.5</v>
      </c>
      <c r="CK10" s="14">
        <f>CJ11+42.7+0.2</f>
        <v>206.39999999999998</v>
      </c>
      <c r="CL10" s="14">
        <f aca="true" t="shared" si="15" ref="CL10:DF10">CK11</f>
        <v>206.39999999999998</v>
      </c>
      <c r="CM10" s="14">
        <f t="shared" si="15"/>
        <v>206.39999999999998</v>
      </c>
      <c r="CN10" s="14">
        <f t="shared" si="15"/>
        <v>206.39999999999998</v>
      </c>
      <c r="CO10" s="14">
        <f t="shared" si="15"/>
        <v>206.39999999999998</v>
      </c>
      <c r="CP10" s="14">
        <f>CO11+251.3+18.7</f>
        <v>476.4</v>
      </c>
      <c r="CQ10" s="14">
        <f t="shared" si="15"/>
        <v>126.39999999999998</v>
      </c>
      <c r="CR10" s="14">
        <f t="shared" si="15"/>
        <v>126.39999999999998</v>
      </c>
      <c r="CS10" s="14">
        <f>CR11</f>
        <v>86.39999999999998</v>
      </c>
      <c r="CT10" s="14">
        <f>CS11</f>
        <v>46.39999999999998</v>
      </c>
      <c r="CU10" s="14">
        <f>CT11+27.8+34.4+95</f>
        <v>157.2</v>
      </c>
      <c r="CV10" s="14">
        <f t="shared" si="15"/>
        <v>127.19999999999999</v>
      </c>
      <c r="CW10" s="14">
        <f t="shared" si="15"/>
        <v>97.19999999999999</v>
      </c>
      <c r="CX10" s="14">
        <f t="shared" si="15"/>
        <v>97.19999999999999</v>
      </c>
      <c r="CY10" s="14">
        <f t="shared" si="15"/>
        <v>97.19999999999999</v>
      </c>
      <c r="CZ10" s="14">
        <f>CY11+120.8</f>
        <v>218</v>
      </c>
      <c r="DA10" s="14">
        <f>CZ11+134.5</f>
        <v>255.5</v>
      </c>
      <c r="DB10" s="14">
        <f t="shared" si="15"/>
        <v>215.5</v>
      </c>
      <c r="DC10" s="14">
        <f t="shared" si="15"/>
        <v>165.5</v>
      </c>
      <c r="DD10" s="14">
        <f t="shared" si="15"/>
        <v>165.5</v>
      </c>
      <c r="DE10" s="14">
        <f>DD11+8.5+94.5</f>
        <v>218.5</v>
      </c>
      <c r="DF10" s="14">
        <f t="shared" si="15"/>
        <v>168.5</v>
      </c>
      <c r="DG10" s="14">
        <f>DF11</f>
        <v>128.5</v>
      </c>
      <c r="DH10" s="14">
        <f>DG11</f>
        <v>88.5</v>
      </c>
      <c r="DI10" s="14">
        <f>DH11</f>
        <v>48.5</v>
      </c>
      <c r="DJ10" s="14">
        <f>DI11+2.7+42.5</f>
        <v>93.7</v>
      </c>
      <c r="DK10" s="14">
        <f>DJ11+129.3</f>
        <v>223</v>
      </c>
      <c r="DL10" s="14">
        <f>DK11</f>
        <v>223</v>
      </c>
      <c r="DM10" s="14">
        <f>DL11</f>
        <v>223</v>
      </c>
      <c r="DN10" s="14">
        <f aca="true" t="shared" si="16" ref="DN10:EG10">DM11</f>
        <v>223</v>
      </c>
      <c r="DO10" s="14">
        <f t="shared" si="16"/>
        <v>223</v>
      </c>
      <c r="DP10" s="15">
        <f>DO11+3+101.7</f>
        <v>327.7</v>
      </c>
      <c r="DQ10" s="15">
        <f t="shared" si="16"/>
        <v>327.7</v>
      </c>
      <c r="DR10" s="15">
        <f t="shared" si="16"/>
        <v>127</v>
      </c>
      <c r="DS10" s="15">
        <f t="shared" si="16"/>
        <v>127</v>
      </c>
      <c r="DT10" s="15">
        <f t="shared" si="16"/>
        <v>87</v>
      </c>
      <c r="DU10" s="14">
        <f>DT11+55.3+90</f>
        <v>182.3</v>
      </c>
      <c r="DV10" s="14">
        <f t="shared" si="16"/>
        <v>182.3</v>
      </c>
      <c r="DW10" s="14">
        <f t="shared" si="16"/>
        <v>147.3</v>
      </c>
      <c r="DX10" s="14">
        <f t="shared" si="16"/>
        <v>112.30000000000001</v>
      </c>
      <c r="DY10" s="14">
        <f t="shared" si="16"/>
        <v>77.30000000000001</v>
      </c>
      <c r="DZ10" s="14">
        <f>DY11+284.2+13.5</f>
        <v>340</v>
      </c>
      <c r="EA10" s="14">
        <f t="shared" si="16"/>
        <v>305</v>
      </c>
      <c r="EB10" s="14">
        <f t="shared" si="16"/>
        <v>305</v>
      </c>
      <c r="EC10" s="14">
        <f t="shared" si="16"/>
        <v>255</v>
      </c>
      <c r="ED10" s="14">
        <f t="shared" si="16"/>
        <v>205</v>
      </c>
      <c r="EE10" s="14">
        <f t="shared" si="16"/>
        <v>155</v>
      </c>
      <c r="EF10" s="14">
        <f t="shared" si="16"/>
        <v>105</v>
      </c>
      <c r="EG10" s="14">
        <f t="shared" si="16"/>
        <v>55</v>
      </c>
      <c r="EH10" s="14">
        <f>EG11+198.3</f>
        <v>253.3</v>
      </c>
      <c r="EI10" s="14">
        <f>EH11</f>
        <v>253.3</v>
      </c>
      <c r="EJ10" s="14">
        <f>EI11</f>
        <v>253.3</v>
      </c>
      <c r="EK10" s="14">
        <f>EJ11</f>
        <v>253.3</v>
      </c>
      <c r="EL10" s="14">
        <f>EK11</f>
        <v>253.3</v>
      </c>
      <c r="EM10" s="14">
        <f>EL11</f>
        <v>253.3</v>
      </c>
      <c r="EN10" s="14">
        <f>EM11+162.3+17.5</f>
        <v>433.1</v>
      </c>
      <c r="EO10" s="14">
        <f aca="true" t="shared" si="17" ref="EO10:EU10">EN11</f>
        <v>433.1</v>
      </c>
      <c r="EP10" s="14">
        <f t="shared" si="17"/>
        <v>433.1</v>
      </c>
      <c r="EQ10" s="14">
        <f t="shared" si="17"/>
        <v>58.10000000000002</v>
      </c>
      <c r="ER10" s="14">
        <f>EQ11+19.4+180.2+107.4</f>
        <v>365.1</v>
      </c>
      <c r="ES10" s="14">
        <f>ER11</f>
        <v>307</v>
      </c>
      <c r="ET10" s="14">
        <f>ES11+31.7</f>
        <v>338.7</v>
      </c>
      <c r="EU10" s="14">
        <f t="shared" si="17"/>
        <v>278.7</v>
      </c>
      <c r="EV10" s="14">
        <f>EU11+32.7+180.9</f>
        <v>442.29999999999995</v>
      </c>
      <c r="EW10" s="14">
        <f aca="true" t="shared" si="18" ref="EW10:GO10">EV11</f>
        <v>387.29999999999995</v>
      </c>
      <c r="EX10" s="14">
        <f t="shared" si="18"/>
        <v>327.29999999999995</v>
      </c>
      <c r="EY10" s="14">
        <f t="shared" si="18"/>
        <v>267.69999999999993</v>
      </c>
      <c r="EZ10" s="14">
        <f t="shared" si="18"/>
        <v>267.69999999999993</v>
      </c>
      <c r="FA10" s="14">
        <f t="shared" si="18"/>
        <v>207.69999999999993</v>
      </c>
      <c r="FB10" s="14">
        <f>FA11+1.4+164.3</f>
        <v>313.4</v>
      </c>
      <c r="FC10" s="14">
        <f t="shared" si="18"/>
        <v>253.39999999999998</v>
      </c>
      <c r="FD10" s="14">
        <f t="shared" si="18"/>
        <v>253.39999999999998</v>
      </c>
      <c r="FE10" s="14">
        <f t="shared" si="18"/>
        <v>133.39999999999998</v>
      </c>
      <c r="FF10" s="14">
        <f>FE11+264.1+17.7</f>
        <v>415.2</v>
      </c>
      <c r="FG10" s="14">
        <f t="shared" si="18"/>
        <v>340.2</v>
      </c>
      <c r="FH10" s="14">
        <f t="shared" si="18"/>
        <v>280.2</v>
      </c>
      <c r="FI10" s="14">
        <f t="shared" si="18"/>
        <v>220.2</v>
      </c>
      <c r="FJ10" s="14">
        <f t="shared" si="18"/>
        <v>160.2</v>
      </c>
      <c r="FK10" s="14">
        <f t="shared" si="18"/>
        <v>160.2</v>
      </c>
      <c r="FL10" s="14">
        <f t="shared" si="18"/>
        <v>160.2</v>
      </c>
      <c r="FM10" s="14">
        <f t="shared" si="18"/>
        <v>160.2</v>
      </c>
      <c r="FN10" s="14">
        <f t="shared" si="18"/>
        <v>160.2</v>
      </c>
      <c r="FO10" s="14">
        <f>FN11+103.2+223.6+26.9</f>
        <v>513.9</v>
      </c>
      <c r="FP10" s="14">
        <f t="shared" si="18"/>
        <v>513.9</v>
      </c>
      <c r="FQ10" s="14">
        <f t="shared" si="18"/>
        <v>513.9</v>
      </c>
      <c r="FR10" s="14">
        <f t="shared" si="18"/>
        <v>513.9</v>
      </c>
      <c r="FS10" s="14">
        <f t="shared" si="18"/>
        <v>113.89999999999998</v>
      </c>
      <c r="FT10" s="14">
        <f t="shared" si="18"/>
        <v>113.89999999999998</v>
      </c>
      <c r="FU10" s="14">
        <f t="shared" si="18"/>
        <v>68.89999999999998</v>
      </c>
      <c r="FV10" s="14">
        <f>FU11+118.3+91.6</f>
        <v>233.79999999999998</v>
      </c>
      <c r="FW10" s="14">
        <f t="shared" si="18"/>
        <v>183.79999999999998</v>
      </c>
      <c r="FX10" s="14">
        <f t="shared" si="18"/>
        <v>183.79999999999998</v>
      </c>
      <c r="FY10" s="14">
        <f t="shared" si="18"/>
        <v>133.79999999999998</v>
      </c>
      <c r="FZ10" s="14">
        <f t="shared" si="18"/>
        <v>93.79999999999998</v>
      </c>
      <c r="GA10" s="14">
        <f t="shared" si="18"/>
        <v>53.79999999999998</v>
      </c>
      <c r="GB10" s="14">
        <f t="shared" si="18"/>
        <v>13.799999999999983</v>
      </c>
      <c r="GC10" s="14">
        <f t="shared" si="18"/>
        <v>13.799999999999983</v>
      </c>
      <c r="GD10" s="14">
        <f t="shared" si="18"/>
        <v>13.799999999999983</v>
      </c>
      <c r="GE10" s="14">
        <f t="shared" si="18"/>
        <v>13.799999999999983</v>
      </c>
      <c r="GF10" s="14">
        <f t="shared" si="18"/>
        <v>13.799999999999983</v>
      </c>
      <c r="GG10" s="14">
        <f t="shared" si="18"/>
        <v>13.799999999999983</v>
      </c>
      <c r="GH10" s="14">
        <f t="shared" si="18"/>
        <v>13.799999999999983</v>
      </c>
      <c r="GI10" s="14">
        <f t="shared" si="18"/>
        <v>13.799999999999983</v>
      </c>
      <c r="GJ10" s="14">
        <f t="shared" si="18"/>
        <v>13.799999999999983</v>
      </c>
      <c r="GK10" s="14">
        <f t="shared" si="18"/>
        <v>13.799999999999983</v>
      </c>
      <c r="GL10" s="14">
        <f t="shared" si="18"/>
        <v>13.799999999999983</v>
      </c>
      <c r="GM10" s="14">
        <f t="shared" si="18"/>
        <v>13.799999999999983</v>
      </c>
      <c r="GN10" s="14">
        <f t="shared" si="18"/>
        <v>13.799999999999983</v>
      </c>
      <c r="GO10" s="14">
        <f t="shared" si="18"/>
        <v>13.799999999999983</v>
      </c>
    </row>
    <row r="11" spans="1:197" ht="15">
      <c r="A11" s="7"/>
      <c r="B11" s="23"/>
      <c r="C11" s="24" t="s">
        <v>218</v>
      </c>
      <c r="D11" s="16">
        <f>D10-D9</f>
        <v>209.3</v>
      </c>
      <c r="E11" s="16">
        <f>E10-E9</f>
        <v>209.3</v>
      </c>
      <c r="F11" s="16">
        <f aca="true" t="shared" si="19" ref="F11:BQ11">F10-F9</f>
        <v>328.8</v>
      </c>
      <c r="G11" s="16">
        <f t="shared" si="19"/>
        <v>263.8</v>
      </c>
      <c r="H11" s="16">
        <f t="shared" si="19"/>
        <v>263.8</v>
      </c>
      <c r="I11" s="16">
        <f t="shared" si="19"/>
        <v>263.8</v>
      </c>
      <c r="J11" s="16">
        <f t="shared" si="19"/>
        <v>311.4</v>
      </c>
      <c r="K11" s="16">
        <f t="shared" si="19"/>
        <v>311.4</v>
      </c>
      <c r="L11" s="16">
        <f t="shared" si="19"/>
        <v>510.7</v>
      </c>
      <c r="M11" s="16">
        <f t="shared" si="19"/>
        <v>510.7</v>
      </c>
      <c r="N11" s="16">
        <f t="shared" si="19"/>
        <v>565.9</v>
      </c>
      <c r="O11" s="17">
        <f t="shared" si="19"/>
        <v>254.5</v>
      </c>
      <c r="P11" s="16">
        <f t="shared" si="19"/>
        <v>204.5</v>
      </c>
      <c r="Q11" s="16">
        <f t="shared" si="19"/>
        <v>204.5</v>
      </c>
      <c r="R11" s="16">
        <f t="shared" si="19"/>
        <v>249.7</v>
      </c>
      <c r="S11" s="16">
        <f t="shared" si="19"/>
        <v>249.7</v>
      </c>
      <c r="T11" s="16">
        <f t="shared" si="19"/>
        <v>189.7</v>
      </c>
      <c r="U11" s="16">
        <f t="shared" si="19"/>
        <v>248.49999999999997</v>
      </c>
      <c r="V11" s="16">
        <f t="shared" si="19"/>
        <v>248.49999999999997</v>
      </c>
      <c r="W11" s="16">
        <f t="shared" si="19"/>
        <v>248.49999999999997</v>
      </c>
      <c r="X11" s="17">
        <f t="shared" si="19"/>
        <v>278.2</v>
      </c>
      <c r="Y11" s="16">
        <f t="shared" si="19"/>
        <v>242.7</v>
      </c>
      <c r="Z11" s="16">
        <f t="shared" si="19"/>
        <v>182.7</v>
      </c>
      <c r="AA11" s="17">
        <f t="shared" si="19"/>
        <v>182.7</v>
      </c>
      <c r="AB11" s="16">
        <f t="shared" si="19"/>
        <v>117.69999999999999</v>
      </c>
      <c r="AC11" s="16">
        <f t="shared" si="19"/>
        <v>117.69999999999999</v>
      </c>
      <c r="AD11" s="17">
        <f t="shared" si="19"/>
        <v>229</v>
      </c>
      <c r="AE11" s="17">
        <f t="shared" si="19"/>
        <v>179</v>
      </c>
      <c r="AF11" s="16">
        <f t="shared" si="19"/>
        <v>129</v>
      </c>
      <c r="AG11" s="16">
        <f t="shared" si="19"/>
        <v>84</v>
      </c>
      <c r="AH11" s="16">
        <f t="shared" si="19"/>
        <v>39</v>
      </c>
      <c r="AI11" s="16">
        <f t="shared" si="19"/>
        <v>39</v>
      </c>
      <c r="AJ11" s="16">
        <f t="shared" si="19"/>
        <v>191.4</v>
      </c>
      <c r="AK11" s="16">
        <f t="shared" si="19"/>
        <v>203.5</v>
      </c>
      <c r="AL11" s="16">
        <f t="shared" si="19"/>
        <v>203.5</v>
      </c>
      <c r="AM11" s="16">
        <f t="shared" si="19"/>
        <v>203.5</v>
      </c>
      <c r="AN11" s="16">
        <f t="shared" si="19"/>
        <v>203.5</v>
      </c>
      <c r="AO11" s="16">
        <f t="shared" si="19"/>
        <v>203.5</v>
      </c>
      <c r="AP11" s="16">
        <f t="shared" si="19"/>
        <v>137.09999999999997</v>
      </c>
      <c r="AQ11" s="16">
        <f t="shared" si="19"/>
        <v>137.09999999999997</v>
      </c>
      <c r="AR11" s="16">
        <f t="shared" si="19"/>
        <v>97.09999999999997</v>
      </c>
      <c r="AS11" s="16">
        <f t="shared" si="19"/>
        <v>97.09999999999997</v>
      </c>
      <c r="AT11" s="16">
        <f t="shared" si="19"/>
        <v>97.09999999999997</v>
      </c>
      <c r="AU11" s="16">
        <f t="shared" si="19"/>
        <v>97.09999999999997</v>
      </c>
      <c r="AV11" s="16">
        <f t="shared" si="19"/>
        <v>252.5</v>
      </c>
      <c r="AW11" s="16">
        <f t="shared" si="19"/>
        <v>212.5</v>
      </c>
      <c r="AX11" s="16">
        <f t="shared" si="19"/>
        <v>172.5</v>
      </c>
      <c r="AY11" s="16">
        <f t="shared" si="19"/>
        <v>278.8</v>
      </c>
      <c r="AZ11" s="16">
        <f t="shared" si="19"/>
        <v>238.8</v>
      </c>
      <c r="BA11" s="16">
        <f t="shared" si="19"/>
        <v>238.8</v>
      </c>
      <c r="BB11" s="16">
        <f t="shared" si="19"/>
        <v>385</v>
      </c>
      <c r="BC11" s="16">
        <f t="shared" si="19"/>
        <v>357.8</v>
      </c>
      <c r="BD11" s="16">
        <f t="shared" si="19"/>
        <v>297.8</v>
      </c>
      <c r="BE11" s="16">
        <f t="shared" si="19"/>
        <v>247.8</v>
      </c>
      <c r="BF11" s="16">
        <f t="shared" si="19"/>
        <v>196.70000000000002</v>
      </c>
      <c r="BG11" s="16">
        <f t="shared" si="19"/>
        <v>196.70000000000002</v>
      </c>
      <c r="BH11" s="16">
        <f t="shared" si="19"/>
        <v>196.70000000000002</v>
      </c>
      <c r="BI11" s="16">
        <f t="shared" si="19"/>
        <v>196.70000000000002</v>
      </c>
      <c r="BJ11" s="16">
        <f t="shared" si="19"/>
        <v>403.70000000000005</v>
      </c>
      <c r="BK11" s="16">
        <f t="shared" si="19"/>
        <v>403.70000000000005</v>
      </c>
      <c r="BL11" s="16">
        <f t="shared" si="19"/>
        <v>403.70000000000005</v>
      </c>
      <c r="BM11" s="16">
        <f t="shared" si="19"/>
        <v>403.70000000000005</v>
      </c>
      <c r="BN11" s="16">
        <f t="shared" si="19"/>
        <v>686.9000000000001</v>
      </c>
      <c r="BO11" s="16">
        <f t="shared" si="19"/>
        <v>710.4000000000001</v>
      </c>
      <c r="BP11" s="16">
        <f t="shared" si="19"/>
        <v>197</v>
      </c>
      <c r="BQ11" s="16">
        <f t="shared" si="19"/>
        <v>218.6</v>
      </c>
      <c r="BR11" s="16">
        <f aca="true" t="shared" si="20" ref="BR11:CJ11">BR10-BR9</f>
        <v>296.6</v>
      </c>
      <c r="BS11" s="16">
        <f t="shared" si="20"/>
        <v>296.6</v>
      </c>
      <c r="BT11" s="27">
        <f t="shared" si="20"/>
        <v>320.3</v>
      </c>
      <c r="BU11" s="27">
        <f>BU10-BU9</f>
        <v>327.2</v>
      </c>
      <c r="BV11" s="27">
        <f t="shared" si="20"/>
        <v>327.2</v>
      </c>
      <c r="BW11" s="16">
        <f t="shared" si="20"/>
        <v>177.2</v>
      </c>
      <c r="BX11" s="16">
        <f t="shared" si="20"/>
        <v>137.2</v>
      </c>
      <c r="BY11" s="16">
        <f t="shared" si="20"/>
        <v>130.6</v>
      </c>
      <c r="BZ11" s="16">
        <f t="shared" si="20"/>
        <v>364.79999999999995</v>
      </c>
      <c r="CA11" s="16">
        <f t="shared" si="20"/>
        <v>304.79999999999995</v>
      </c>
      <c r="CB11" s="16">
        <f t="shared" si="20"/>
        <v>251.89999999999998</v>
      </c>
      <c r="CC11" s="16">
        <f t="shared" si="20"/>
        <v>191.89999999999998</v>
      </c>
      <c r="CD11" s="16">
        <f t="shared" si="20"/>
        <v>131.89999999999998</v>
      </c>
      <c r="CE11" s="16">
        <f t="shared" si="20"/>
        <v>131.89999999999998</v>
      </c>
      <c r="CF11" s="16">
        <f t="shared" si="20"/>
        <v>71.89999999999998</v>
      </c>
      <c r="CG11" s="16">
        <f t="shared" si="20"/>
        <v>21.899999999999977</v>
      </c>
      <c r="CH11" s="16">
        <f t="shared" si="20"/>
        <v>283.5</v>
      </c>
      <c r="CI11" s="16">
        <f t="shared" si="20"/>
        <v>283.5</v>
      </c>
      <c r="CJ11" s="16">
        <f t="shared" si="20"/>
        <v>163.5</v>
      </c>
      <c r="CK11" s="16">
        <f aca="true" t="shared" si="21" ref="CK11:DK11">CK10-CK9</f>
        <v>206.39999999999998</v>
      </c>
      <c r="CL11" s="16">
        <f t="shared" si="21"/>
        <v>206.39999999999998</v>
      </c>
      <c r="CM11" s="16">
        <f t="shared" si="21"/>
        <v>206.39999999999998</v>
      </c>
      <c r="CN11" s="16">
        <f t="shared" si="21"/>
        <v>206.39999999999998</v>
      </c>
      <c r="CO11" s="16">
        <f t="shared" si="21"/>
        <v>206.39999999999998</v>
      </c>
      <c r="CP11" s="16">
        <f t="shared" si="21"/>
        <v>126.39999999999998</v>
      </c>
      <c r="CQ11" s="16">
        <f t="shared" si="21"/>
        <v>126.39999999999998</v>
      </c>
      <c r="CR11" s="16">
        <f t="shared" si="21"/>
        <v>86.39999999999998</v>
      </c>
      <c r="CS11" s="16">
        <f t="shared" si="21"/>
        <v>46.39999999999998</v>
      </c>
      <c r="CT11" s="16">
        <f t="shared" si="21"/>
        <v>0</v>
      </c>
      <c r="CU11" s="16">
        <f t="shared" si="21"/>
        <v>127.19999999999999</v>
      </c>
      <c r="CV11" s="16">
        <f t="shared" si="21"/>
        <v>97.19999999999999</v>
      </c>
      <c r="CW11" s="16">
        <f t="shared" si="21"/>
        <v>97.19999999999999</v>
      </c>
      <c r="CX11" s="16">
        <f t="shared" si="21"/>
        <v>97.19999999999999</v>
      </c>
      <c r="CY11" s="16">
        <f t="shared" si="21"/>
        <v>97.19999999999999</v>
      </c>
      <c r="CZ11" s="16">
        <f t="shared" si="21"/>
        <v>121</v>
      </c>
      <c r="DA11" s="16">
        <f t="shared" si="21"/>
        <v>215.5</v>
      </c>
      <c r="DB11" s="16">
        <f t="shared" si="21"/>
        <v>165.5</v>
      </c>
      <c r="DC11" s="16">
        <f t="shared" si="21"/>
        <v>165.5</v>
      </c>
      <c r="DD11" s="16">
        <f t="shared" si="21"/>
        <v>115.5</v>
      </c>
      <c r="DE11" s="16">
        <f t="shared" si="21"/>
        <v>168.5</v>
      </c>
      <c r="DF11" s="16">
        <f t="shared" si="21"/>
        <v>128.5</v>
      </c>
      <c r="DG11" s="16">
        <f t="shared" si="21"/>
        <v>88.5</v>
      </c>
      <c r="DH11" s="16">
        <f t="shared" si="21"/>
        <v>48.5</v>
      </c>
      <c r="DI11" s="16">
        <f t="shared" si="21"/>
        <v>48.5</v>
      </c>
      <c r="DJ11" s="16">
        <f t="shared" si="21"/>
        <v>93.7</v>
      </c>
      <c r="DK11" s="16">
        <f t="shared" si="21"/>
        <v>223</v>
      </c>
      <c r="DL11" s="16">
        <f>DL10-DL9</f>
        <v>223</v>
      </c>
      <c r="DM11" s="16">
        <f>DM10-DM9</f>
        <v>223</v>
      </c>
      <c r="DN11" s="16">
        <f aca="true" t="shared" si="22" ref="DN11:DS11">DN10-DN9</f>
        <v>223</v>
      </c>
      <c r="DO11" s="16">
        <f t="shared" si="22"/>
        <v>223</v>
      </c>
      <c r="DP11" s="17">
        <f t="shared" si="22"/>
        <v>327.7</v>
      </c>
      <c r="DQ11" s="17">
        <f t="shared" si="22"/>
        <v>127</v>
      </c>
      <c r="DR11" s="17">
        <f t="shared" si="22"/>
        <v>127</v>
      </c>
      <c r="DS11" s="17">
        <f t="shared" si="22"/>
        <v>87</v>
      </c>
      <c r="DT11" s="17">
        <f aca="true" t="shared" si="23" ref="DT11:EG11">DT10-DT9</f>
        <v>37</v>
      </c>
      <c r="DU11" s="16">
        <f t="shared" si="23"/>
        <v>182.3</v>
      </c>
      <c r="DV11" s="16">
        <f t="shared" si="23"/>
        <v>147.3</v>
      </c>
      <c r="DW11" s="16">
        <f t="shared" si="23"/>
        <v>112.30000000000001</v>
      </c>
      <c r="DX11" s="16">
        <f t="shared" si="23"/>
        <v>77.30000000000001</v>
      </c>
      <c r="DY11" s="16">
        <f t="shared" si="23"/>
        <v>42.30000000000001</v>
      </c>
      <c r="DZ11" s="16">
        <f t="shared" si="23"/>
        <v>305</v>
      </c>
      <c r="EA11" s="16">
        <f t="shared" si="23"/>
        <v>305</v>
      </c>
      <c r="EB11" s="16">
        <f t="shared" si="23"/>
        <v>255</v>
      </c>
      <c r="EC11" s="16">
        <f t="shared" si="23"/>
        <v>205</v>
      </c>
      <c r="ED11" s="16">
        <f t="shared" si="23"/>
        <v>155</v>
      </c>
      <c r="EE11" s="16">
        <f t="shared" si="23"/>
        <v>105</v>
      </c>
      <c r="EF11" s="16">
        <f t="shared" si="23"/>
        <v>55</v>
      </c>
      <c r="EG11" s="16">
        <f t="shared" si="23"/>
        <v>55</v>
      </c>
      <c r="EH11" s="16">
        <f aca="true" t="shared" si="24" ref="EH11:GO11">EH10-EH9</f>
        <v>253.3</v>
      </c>
      <c r="EI11" s="16">
        <f t="shared" si="24"/>
        <v>253.3</v>
      </c>
      <c r="EJ11" s="16">
        <f t="shared" si="24"/>
        <v>253.3</v>
      </c>
      <c r="EK11" s="16">
        <f t="shared" si="24"/>
        <v>253.3</v>
      </c>
      <c r="EL11" s="16">
        <f t="shared" si="24"/>
        <v>253.3</v>
      </c>
      <c r="EM11" s="16">
        <f t="shared" si="24"/>
        <v>253.3</v>
      </c>
      <c r="EN11" s="16">
        <f t="shared" si="24"/>
        <v>433.1</v>
      </c>
      <c r="EO11" s="16">
        <f t="shared" si="24"/>
        <v>433.1</v>
      </c>
      <c r="EP11" s="16">
        <f t="shared" si="24"/>
        <v>58.10000000000002</v>
      </c>
      <c r="EQ11" s="16">
        <f t="shared" si="24"/>
        <v>58.10000000000002</v>
      </c>
      <c r="ER11" s="16">
        <f t="shared" si="24"/>
        <v>307</v>
      </c>
      <c r="ES11" s="16">
        <f t="shared" si="24"/>
        <v>307</v>
      </c>
      <c r="ET11" s="16">
        <f t="shared" si="24"/>
        <v>278.7</v>
      </c>
      <c r="EU11" s="16">
        <f t="shared" si="24"/>
        <v>228.7</v>
      </c>
      <c r="EV11" s="16">
        <f t="shared" si="24"/>
        <v>387.29999999999995</v>
      </c>
      <c r="EW11" s="16">
        <f t="shared" si="24"/>
        <v>327.29999999999995</v>
      </c>
      <c r="EX11" s="16">
        <f t="shared" si="24"/>
        <v>267.69999999999993</v>
      </c>
      <c r="EY11" s="16">
        <f t="shared" si="24"/>
        <v>267.69999999999993</v>
      </c>
      <c r="EZ11" s="16">
        <f t="shared" si="24"/>
        <v>207.69999999999993</v>
      </c>
      <c r="FA11" s="16">
        <f t="shared" si="24"/>
        <v>147.69999999999993</v>
      </c>
      <c r="FB11" s="16">
        <f t="shared" si="24"/>
        <v>253.39999999999998</v>
      </c>
      <c r="FC11" s="16">
        <f t="shared" si="24"/>
        <v>253.39999999999998</v>
      </c>
      <c r="FD11" s="16">
        <f t="shared" si="24"/>
        <v>133.39999999999998</v>
      </c>
      <c r="FE11" s="16">
        <f t="shared" si="24"/>
        <v>133.39999999999998</v>
      </c>
      <c r="FF11" s="16">
        <f t="shared" si="24"/>
        <v>340.2</v>
      </c>
      <c r="FG11" s="16">
        <f t="shared" si="24"/>
        <v>280.2</v>
      </c>
      <c r="FH11" s="16">
        <f t="shared" si="24"/>
        <v>220.2</v>
      </c>
      <c r="FI11" s="16">
        <f t="shared" si="24"/>
        <v>160.2</v>
      </c>
      <c r="FJ11" s="16">
        <f t="shared" si="24"/>
        <v>160.2</v>
      </c>
      <c r="FK11" s="16">
        <f t="shared" si="24"/>
        <v>160.2</v>
      </c>
      <c r="FL11" s="16">
        <f t="shared" si="24"/>
        <v>160.2</v>
      </c>
      <c r="FM11" s="16">
        <f t="shared" si="24"/>
        <v>160.2</v>
      </c>
      <c r="FN11" s="16">
        <f t="shared" si="24"/>
        <v>160.2</v>
      </c>
      <c r="FO11" s="16">
        <f t="shared" si="24"/>
        <v>513.9</v>
      </c>
      <c r="FP11" s="16">
        <f t="shared" si="24"/>
        <v>513.9</v>
      </c>
      <c r="FQ11" s="16">
        <f t="shared" si="24"/>
        <v>513.9</v>
      </c>
      <c r="FR11" s="16">
        <f t="shared" si="24"/>
        <v>113.89999999999998</v>
      </c>
      <c r="FS11" s="16">
        <f t="shared" si="24"/>
        <v>113.89999999999998</v>
      </c>
      <c r="FT11" s="16">
        <f t="shared" si="24"/>
        <v>68.89999999999998</v>
      </c>
      <c r="FU11" s="16">
        <f t="shared" si="24"/>
        <v>23.899999999999977</v>
      </c>
      <c r="FV11" s="16">
        <f t="shared" si="24"/>
        <v>183.79999999999998</v>
      </c>
      <c r="FW11" s="16">
        <f t="shared" si="24"/>
        <v>183.79999999999998</v>
      </c>
      <c r="FX11" s="16">
        <f t="shared" si="24"/>
        <v>133.79999999999998</v>
      </c>
      <c r="FY11" s="16">
        <f t="shared" si="24"/>
        <v>93.79999999999998</v>
      </c>
      <c r="FZ11" s="16">
        <f t="shared" si="24"/>
        <v>53.79999999999998</v>
      </c>
      <c r="GA11" s="16">
        <f t="shared" si="24"/>
        <v>13.799999999999983</v>
      </c>
      <c r="GB11" s="16">
        <f t="shared" si="24"/>
        <v>13.799999999999983</v>
      </c>
      <c r="GC11" s="16">
        <f t="shared" si="24"/>
        <v>13.799999999999983</v>
      </c>
      <c r="GD11" s="16">
        <f t="shared" si="24"/>
        <v>13.799999999999983</v>
      </c>
      <c r="GE11" s="16">
        <f t="shared" si="24"/>
        <v>13.799999999999983</v>
      </c>
      <c r="GF11" s="16">
        <f t="shared" si="24"/>
        <v>13.799999999999983</v>
      </c>
      <c r="GG11" s="16">
        <f t="shared" si="24"/>
        <v>13.799999999999983</v>
      </c>
      <c r="GH11" s="16">
        <f t="shared" si="24"/>
        <v>13.799999999999983</v>
      </c>
      <c r="GI11" s="16">
        <f t="shared" si="24"/>
        <v>13.799999999999983</v>
      </c>
      <c r="GJ11" s="16">
        <f t="shared" si="24"/>
        <v>13.799999999999983</v>
      </c>
      <c r="GK11" s="16">
        <f t="shared" si="24"/>
        <v>13.799999999999983</v>
      </c>
      <c r="GL11" s="16">
        <f t="shared" si="24"/>
        <v>13.799999999999983</v>
      </c>
      <c r="GM11" s="16">
        <f t="shared" si="24"/>
        <v>13.799999999999983</v>
      </c>
      <c r="GN11" s="16">
        <f t="shared" si="24"/>
        <v>13.799999999999983</v>
      </c>
      <c r="GO11" s="16">
        <f t="shared" si="24"/>
        <v>13.799999999999983</v>
      </c>
    </row>
    <row r="12" spans="1:184" ht="15">
      <c r="A12" s="4" t="s">
        <v>221</v>
      </c>
      <c r="B12" s="4">
        <v>18</v>
      </c>
      <c r="C12" s="12" t="s">
        <v>216</v>
      </c>
      <c r="D12" s="19">
        <v>50</v>
      </c>
      <c r="E12" s="9"/>
      <c r="F12" s="13">
        <v>50</v>
      </c>
      <c r="G12" s="13">
        <v>60</v>
      </c>
      <c r="H12" s="13">
        <v>30</v>
      </c>
      <c r="O12" s="13">
        <v>135.2</v>
      </c>
      <c r="X12" s="7"/>
      <c r="AA12" s="7"/>
      <c r="AD12" s="7"/>
      <c r="AE12" s="7"/>
      <c r="AP12" s="13">
        <v>250</v>
      </c>
      <c r="AR12" s="13">
        <v>60</v>
      </c>
      <c r="AS12" s="13">
        <v>40</v>
      </c>
      <c r="AT12" s="13">
        <v>34.2</v>
      </c>
      <c r="BP12" s="13">
        <v>250</v>
      </c>
      <c r="BQ12" s="13">
        <v>150.2</v>
      </c>
      <c r="CP12" s="13">
        <v>424.3</v>
      </c>
      <c r="DN12">
        <v>45</v>
      </c>
      <c r="DP12" s="13">
        <f>377.3-45</f>
        <v>332.3</v>
      </c>
      <c r="DQ12" s="7"/>
      <c r="DR12" s="7"/>
      <c r="DS12" s="7"/>
      <c r="DT12" s="7"/>
      <c r="EP12" s="13">
        <v>350</v>
      </c>
      <c r="EQ12" s="13">
        <v>55</v>
      </c>
      <c r="EZ12" s="20">
        <v>10.5</v>
      </c>
      <c r="FU12">
        <v>50</v>
      </c>
      <c r="FV12">
        <v>50</v>
      </c>
      <c r="FX12">
        <v>50</v>
      </c>
      <c r="FY12">
        <v>60</v>
      </c>
      <c r="FZ12">
        <v>60</v>
      </c>
      <c r="GA12">
        <v>60</v>
      </c>
      <c r="GB12">
        <v>50.5</v>
      </c>
    </row>
    <row r="13" spans="1:197" ht="15">
      <c r="A13" s="28"/>
      <c r="B13" s="28"/>
      <c r="C13" s="24" t="s">
        <v>217</v>
      </c>
      <c r="D13" s="25">
        <v>325.2</v>
      </c>
      <c r="E13" s="14">
        <f>D14</f>
        <v>275.2</v>
      </c>
      <c r="F13" s="14">
        <f aca="true" t="shared" si="25" ref="F13:BQ13">E14</f>
        <v>275.2</v>
      </c>
      <c r="G13" s="14">
        <f t="shared" si="25"/>
        <v>225.2</v>
      </c>
      <c r="H13" s="14">
        <f t="shared" si="25"/>
        <v>165.2</v>
      </c>
      <c r="I13" s="14">
        <f t="shared" si="25"/>
        <v>135.2</v>
      </c>
      <c r="J13" s="14">
        <f t="shared" si="25"/>
        <v>135.2</v>
      </c>
      <c r="K13" s="14">
        <f t="shared" si="25"/>
        <v>135.2</v>
      </c>
      <c r="L13" s="14">
        <f t="shared" si="25"/>
        <v>135.2</v>
      </c>
      <c r="M13" s="14">
        <f t="shared" si="25"/>
        <v>135.2</v>
      </c>
      <c r="N13" s="14">
        <f t="shared" si="25"/>
        <v>135.2</v>
      </c>
      <c r="O13" s="15">
        <f t="shared" si="25"/>
        <v>135.2</v>
      </c>
      <c r="P13" s="14">
        <f t="shared" si="25"/>
        <v>0</v>
      </c>
      <c r="Q13" s="14">
        <f t="shared" si="25"/>
        <v>0</v>
      </c>
      <c r="R13" s="14">
        <f t="shared" si="25"/>
        <v>0</v>
      </c>
      <c r="S13" s="14">
        <f t="shared" si="25"/>
        <v>0</v>
      </c>
      <c r="T13" s="14">
        <f t="shared" si="25"/>
        <v>0</v>
      </c>
      <c r="U13" s="14">
        <f t="shared" si="25"/>
        <v>0</v>
      </c>
      <c r="V13" s="14">
        <f t="shared" si="25"/>
        <v>0</v>
      </c>
      <c r="W13" s="14">
        <f t="shared" si="25"/>
        <v>0</v>
      </c>
      <c r="X13" s="15">
        <f t="shared" si="25"/>
        <v>0</v>
      </c>
      <c r="Y13" s="14">
        <f t="shared" si="25"/>
        <v>0</v>
      </c>
      <c r="Z13" s="14">
        <f t="shared" si="25"/>
        <v>0</v>
      </c>
      <c r="AA13" s="15">
        <f t="shared" si="25"/>
        <v>0</v>
      </c>
      <c r="AB13" s="14">
        <f t="shared" si="25"/>
        <v>0</v>
      </c>
      <c r="AC13" s="14">
        <f t="shared" si="25"/>
        <v>0</v>
      </c>
      <c r="AD13" s="15">
        <f t="shared" si="25"/>
        <v>0</v>
      </c>
      <c r="AE13" s="15">
        <f t="shared" si="25"/>
        <v>0</v>
      </c>
      <c r="AF13" s="14">
        <f t="shared" si="25"/>
        <v>0</v>
      </c>
      <c r="AG13" s="14">
        <f t="shared" si="25"/>
        <v>0</v>
      </c>
      <c r="AH13" s="14">
        <f t="shared" si="25"/>
        <v>0</v>
      </c>
      <c r="AI13" s="14">
        <f t="shared" si="25"/>
        <v>0</v>
      </c>
      <c r="AJ13" s="14">
        <f t="shared" si="25"/>
        <v>0</v>
      </c>
      <c r="AK13" s="14">
        <f t="shared" si="25"/>
        <v>0</v>
      </c>
      <c r="AL13" s="14">
        <f t="shared" si="25"/>
        <v>0</v>
      </c>
      <c r="AM13" s="14">
        <f t="shared" si="25"/>
        <v>0</v>
      </c>
      <c r="AN13" s="14">
        <f>AM14+384.2</f>
        <v>384.2</v>
      </c>
      <c r="AO13" s="14">
        <f t="shared" si="25"/>
        <v>384.2</v>
      </c>
      <c r="AP13" s="14">
        <f t="shared" si="25"/>
        <v>384.2</v>
      </c>
      <c r="AQ13" s="14">
        <f t="shared" si="25"/>
        <v>134.2</v>
      </c>
      <c r="AR13" s="14">
        <f t="shared" si="25"/>
        <v>134.2</v>
      </c>
      <c r="AS13" s="14">
        <f t="shared" si="25"/>
        <v>74.19999999999999</v>
      </c>
      <c r="AT13" s="14">
        <f t="shared" si="25"/>
        <v>34.19999999999999</v>
      </c>
      <c r="AU13" s="14">
        <f t="shared" si="25"/>
        <v>0</v>
      </c>
      <c r="AV13" s="14">
        <f t="shared" si="25"/>
        <v>0</v>
      </c>
      <c r="AW13" s="14">
        <f t="shared" si="25"/>
        <v>0</v>
      </c>
      <c r="AX13" s="14">
        <f t="shared" si="25"/>
        <v>0</v>
      </c>
      <c r="AY13" s="14">
        <f t="shared" si="25"/>
        <v>0</v>
      </c>
      <c r="AZ13" s="14">
        <f t="shared" si="25"/>
        <v>0</v>
      </c>
      <c r="BA13" s="14">
        <f t="shared" si="25"/>
        <v>0</v>
      </c>
      <c r="BB13" s="14">
        <f t="shared" si="25"/>
        <v>0</v>
      </c>
      <c r="BC13" s="14">
        <f t="shared" si="25"/>
        <v>0</v>
      </c>
      <c r="BD13" s="14">
        <f t="shared" si="25"/>
        <v>0</v>
      </c>
      <c r="BE13" s="14">
        <f t="shared" si="25"/>
        <v>0</v>
      </c>
      <c r="BF13" s="14">
        <f t="shared" si="25"/>
        <v>0</v>
      </c>
      <c r="BG13" s="14">
        <f t="shared" si="25"/>
        <v>0</v>
      </c>
      <c r="BH13" s="14">
        <f t="shared" si="25"/>
        <v>0</v>
      </c>
      <c r="BI13" s="14">
        <f t="shared" si="25"/>
        <v>0</v>
      </c>
      <c r="BJ13" s="14">
        <f t="shared" si="25"/>
        <v>0</v>
      </c>
      <c r="BK13" s="14">
        <f t="shared" si="25"/>
        <v>0</v>
      </c>
      <c r="BL13" s="14">
        <f t="shared" si="25"/>
        <v>0</v>
      </c>
      <c r="BM13" s="14">
        <f t="shared" si="25"/>
        <v>0</v>
      </c>
      <c r="BN13" s="14">
        <f>BM14+43.8+359.3-1.7-1.2</f>
        <v>400.20000000000005</v>
      </c>
      <c r="BO13" s="14">
        <f t="shared" si="25"/>
        <v>400.20000000000005</v>
      </c>
      <c r="BP13" s="14">
        <f t="shared" si="25"/>
        <v>400.20000000000005</v>
      </c>
      <c r="BQ13" s="14">
        <f t="shared" si="25"/>
        <v>150.20000000000005</v>
      </c>
      <c r="BR13" s="14">
        <f aca="true" t="shared" si="26" ref="BR13:EC13">BQ14</f>
        <v>0</v>
      </c>
      <c r="BS13" s="14">
        <f t="shared" si="26"/>
        <v>0</v>
      </c>
      <c r="BT13" s="26">
        <f t="shared" si="26"/>
        <v>0</v>
      </c>
      <c r="BU13" s="26">
        <f t="shared" si="26"/>
        <v>0</v>
      </c>
      <c r="BV13" s="26">
        <f t="shared" si="26"/>
        <v>0</v>
      </c>
      <c r="BW13" s="14">
        <f t="shared" si="26"/>
        <v>0</v>
      </c>
      <c r="BX13" s="14">
        <f t="shared" si="26"/>
        <v>0</v>
      </c>
      <c r="BY13" s="14">
        <f>BX14-0.7</f>
        <v>-0.7</v>
      </c>
      <c r="BZ13" s="14">
        <f t="shared" si="26"/>
        <v>-0.7</v>
      </c>
      <c r="CA13" s="14">
        <f t="shared" si="26"/>
        <v>-0.7</v>
      </c>
      <c r="CB13" s="14">
        <f t="shared" si="26"/>
        <v>-0.7</v>
      </c>
      <c r="CC13" s="14">
        <f t="shared" si="26"/>
        <v>-0.7</v>
      </c>
      <c r="CD13" s="14">
        <f t="shared" si="26"/>
        <v>-0.7</v>
      </c>
      <c r="CE13" s="14">
        <f t="shared" si="26"/>
        <v>-0.7</v>
      </c>
      <c r="CF13" s="14">
        <f t="shared" si="26"/>
        <v>-0.7</v>
      </c>
      <c r="CG13" s="14">
        <f t="shared" si="26"/>
        <v>-0.7</v>
      </c>
      <c r="CH13" s="14">
        <f t="shared" si="26"/>
        <v>-0.7</v>
      </c>
      <c r="CI13" s="14">
        <f t="shared" si="26"/>
        <v>-0.7</v>
      </c>
      <c r="CJ13" s="14">
        <f>CI14+425</f>
        <v>424.3</v>
      </c>
      <c r="CK13" s="14">
        <f t="shared" si="26"/>
        <v>424.3</v>
      </c>
      <c r="CL13" s="14">
        <f t="shared" si="26"/>
        <v>424.3</v>
      </c>
      <c r="CM13" s="14">
        <f t="shared" si="26"/>
        <v>424.3</v>
      </c>
      <c r="CN13" s="14">
        <f t="shared" si="26"/>
        <v>424.3</v>
      </c>
      <c r="CO13" s="14">
        <f>CN14-1.7</f>
        <v>422.6</v>
      </c>
      <c r="CP13" s="14">
        <f t="shared" si="26"/>
        <v>422.6</v>
      </c>
      <c r="CQ13" s="14">
        <f t="shared" si="26"/>
        <v>-1.6999999999999886</v>
      </c>
      <c r="CR13" s="14">
        <f t="shared" si="26"/>
        <v>-1.6999999999999886</v>
      </c>
      <c r="CS13" s="14">
        <f t="shared" si="26"/>
        <v>-1.6999999999999886</v>
      </c>
      <c r="CT13" s="14">
        <f t="shared" si="26"/>
        <v>-1.6999999999999886</v>
      </c>
      <c r="CU13" s="14">
        <f t="shared" si="26"/>
        <v>-1.6999999999999886</v>
      </c>
      <c r="CV13" s="14">
        <f t="shared" si="26"/>
        <v>-1.6999999999999886</v>
      </c>
      <c r="CW13" s="14">
        <f t="shared" si="26"/>
        <v>-1.6999999999999886</v>
      </c>
      <c r="CX13" s="14">
        <f t="shared" si="26"/>
        <v>-1.6999999999999886</v>
      </c>
      <c r="CY13" s="14">
        <f t="shared" si="26"/>
        <v>-1.6999999999999886</v>
      </c>
      <c r="CZ13" s="14">
        <f t="shared" si="26"/>
        <v>-1.6999999999999886</v>
      </c>
      <c r="DA13" s="14">
        <f t="shared" si="26"/>
        <v>-1.6999999999999886</v>
      </c>
      <c r="DB13" s="14">
        <f t="shared" si="26"/>
        <v>-1.6999999999999886</v>
      </c>
      <c r="DC13" s="14">
        <f t="shared" si="26"/>
        <v>-1.6999999999999886</v>
      </c>
      <c r="DD13" s="14">
        <f t="shared" si="26"/>
        <v>-1.6999999999999886</v>
      </c>
      <c r="DE13" s="14">
        <f t="shared" si="26"/>
        <v>-1.6999999999999886</v>
      </c>
      <c r="DF13" s="14">
        <f t="shared" si="26"/>
        <v>-1.6999999999999886</v>
      </c>
      <c r="DG13" s="14">
        <f t="shared" si="26"/>
        <v>-1.6999999999999886</v>
      </c>
      <c r="DH13" s="14">
        <f>DG14+379</f>
        <v>377.3</v>
      </c>
      <c r="DI13" s="14">
        <f t="shared" si="26"/>
        <v>377.3</v>
      </c>
      <c r="DJ13" s="14">
        <f t="shared" si="26"/>
        <v>377.3</v>
      </c>
      <c r="DK13" s="14">
        <f t="shared" si="26"/>
        <v>377.3</v>
      </c>
      <c r="DL13" s="14">
        <f t="shared" si="26"/>
        <v>377.3</v>
      </c>
      <c r="DM13" s="14">
        <f t="shared" si="26"/>
        <v>377.3</v>
      </c>
      <c r="DN13" s="14">
        <f t="shared" si="26"/>
        <v>377.3</v>
      </c>
      <c r="DO13" s="14">
        <f t="shared" si="26"/>
        <v>332.3</v>
      </c>
      <c r="DP13" s="15">
        <f t="shared" si="26"/>
        <v>332.3</v>
      </c>
      <c r="DQ13" s="15">
        <f t="shared" si="26"/>
        <v>0</v>
      </c>
      <c r="DR13" s="15">
        <f t="shared" si="26"/>
        <v>0</v>
      </c>
      <c r="DS13" s="15">
        <f t="shared" si="26"/>
        <v>0</v>
      </c>
      <c r="DT13" s="15">
        <f t="shared" si="26"/>
        <v>0</v>
      </c>
      <c r="DU13" s="14">
        <f t="shared" si="26"/>
        <v>0</v>
      </c>
      <c r="DV13" s="14">
        <f t="shared" si="26"/>
        <v>0</v>
      </c>
      <c r="DW13" s="14">
        <f t="shared" si="26"/>
        <v>0</v>
      </c>
      <c r="DX13" s="14">
        <f t="shared" si="26"/>
        <v>0</v>
      </c>
      <c r="DY13" s="14">
        <f t="shared" si="26"/>
        <v>0</v>
      </c>
      <c r="DZ13" s="14">
        <f t="shared" si="26"/>
        <v>0</v>
      </c>
      <c r="EA13" s="14">
        <f t="shared" si="26"/>
        <v>0</v>
      </c>
      <c r="EB13" s="14">
        <f t="shared" si="26"/>
        <v>0</v>
      </c>
      <c r="EC13" s="14">
        <f t="shared" si="26"/>
        <v>0</v>
      </c>
      <c r="ED13" s="14">
        <f aca="true" t="shared" si="27" ref="ED13:GO13">EC14</f>
        <v>0</v>
      </c>
      <c r="EE13" s="14">
        <f t="shared" si="27"/>
        <v>0</v>
      </c>
      <c r="EF13" s="14">
        <f t="shared" si="27"/>
        <v>0</v>
      </c>
      <c r="EG13" s="14">
        <f t="shared" si="27"/>
        <v>0</v>
      </c>
      <c r="EH13" s="14">
        <f t="shared" si="27"/>
        <v>0</v>
      </c>
      <c r="EI13" s="14">
        <f t="shared" si="27"/>
        <v>0</v>
      </c>
      <c r="EJ13" s="14">
        <f t="shared" si="27"/>
        <v>0</v>
      </c>
      <c r="EK13" s="14">
        <f>EJ14+417.5</f>
        <v>417.5</v>
      </c>
      <c r="EL13" s="14">
        <f t="shared" si="27"/>
        <v>417.5</v>
      </c>
      <c r="EM13" s="14">
        <f t="shared" si="27"/>
        <v>417.5</v>
      </c>
      <c r="EN13" s="14">
        <f t="shared" si="27"/>
        <v>417.5</v>
      </c>
      <c r="EO13" s="14">
        <f t="shared" si="27"/>
        <v>417.5</v>
      </c>
      <c r="EP13" s="14">
        <f t="shared" si="27"/>
        <v>417.5</v>
      </c>
      <c r="EQ13" s="14">
        <f t="shared" si="27"/>
        <v>67.5</v>
      </c>
      <c r="ER13" s="14">
        <f>EQ14</f>
        <v>12.5</v>
      </c>
      <c r="ES13" s="14">
        <f>ER14</f>
        <v>12.5</v>
      </c>
      <c r="ET13" s="14">
        <f>ES14</f>
        <v>12.5</v>
      </c>
      <c r="EU13" s="14">
        <f t="shared" si="27"/>
        <v>12.5</v>
      </c>
      <c r="EV13" s="14">
        <f t="shared" si="27"/>
        <v>12.5</v>
      </c>
      <c r="EW13" s="14">
        <f>EV14-0.9-1.1</f>
        <v>10.5</v>
      </c>
      <c r="EX13" s="14">
        <f t="shared" si="27"/>
        <v>10.5</v>
      </c>
      <c r="EY13" s="14">
        <f t="shared" si="27"/>
        <v>10.5</v>
      </c>
      <c r="EZ13" s="14">
        <f t="shared" si="27"/>
        <v>10.5</v>
      </c>
      <c r="FA13" s="14">
        <f t="shared" si="27"/>
        <v>0</v>
      </c>
      <c r="FB13" s="14">
        <f t="shared" si="27"/>
        <v>0</v>
      </c>
      <c r="FC13" s="14">
        <f t="shared" si="27"/>
        <v>0</v>
      </c>
      <c r="FD13" s="14">
        <f t="shared" si="27"/>
        <v>0</v>
      </c>
      <c r="FE13" s="14">
        <f t="shared" si="27"/>
        <v>0</v>
      </c>
      <c r="FF13" s="14">
        <f t="shared" si="27"/>
        <v>0</v>
      </c>
      <c r="FG13" s="14">
        <f t="shared" si="27"/>
        <v>0</v>
      </c>
      <c r="FH13" s="14">
        <f t="shared" si="27"/>
        <v>0</v>
      </c>
      <c r="FI13" s="14">
        <f t="shared" si="27"/>
        <v>0</v>
      </c>
      <c r="FJ13" s="14">
        <f t="shared" si="27"/>
        <v>0</v>
      </c>
      <c r="FK13" s="14">
        <f t="shared" si="27"/>
        <v>0</v>
      </c>
      <c r="FL13" s="14">
        <f t="shared" si="27"/>
        <v>0</v>
      </c>
      <c r="FM13" s="14">
        <f t="shared" si="27"/>
        <v>0</v>
      </c>
      <c r="FN13" s="14">
        <f t="shared" si="27"/>
        <v>0</v>
      </c>
      <c r="FO13" s="14">
        <f t="shared" si="27"/>
        <v>0</v>
      </c>
      <c r="FP13" s="14">
        <f t="shared" si="27"/>
        <v>0</v>
      </c>
      <c r="FQ13" s="14">
        <f t="shared" si="27"/>
        <v>0</v>
      </c>
      <c r="FR13" s="14">
        <f>FQ14+380.5</f>
        <v>380.5</v>
      </c>
      <c r="FS13" s="14">
        <f t="shared" si="27"/>
        <v>380.5</v>
      </c>
      <c r="FT13" s="14">
        <f t="shared" si="27"/>
        <v>380.5</v>
      </c>
      <c r="FU13" s="14">
        <f t="shared" si="27"/>
        <v>380.5</v>
      </c>
      <c r="FV13" s="14">
        <f t="shared" si="27"/>
        <v>330.5</v>
      </c>
      <c r="FW13" s="14">
        <f t="shared" si="27"/>
        <v>280.5</v>
      </c>
      <c r="FX13" s="14">
        <f t="shared" si="27"/>
        <v>280.5</v>
      </c>
      <c r="FY13" s="14">
        <f t="shared" si="27"/>
        <v>230.5</v>
      </c>
      <c r="FZ13" s="14">
        <f t="shared" si="27"/>
        <v>170.5</v>
      </c>
      <c r="GA13" s="14">
        <f t="shared" si="27"/>
        <v>110.5</v>
      </c>
      <c r="GB13" s="14">
        <f t="shared" si="27"/>
        <v>50.5</v>
      </c>
      <c r="GC13" s="14">
        <f t="shared" si="27"/>
        <v>0</v>
      </c>
      <c r="GD13" s="14">
        <f t="shared" si="27"/>
        <v>0</v>
      </c>
      <c r="GE13" s="14">
        <f t="shared" si="27"/>
        <v>0</v>
      </c>
      <c r="GF13" s="14">
        <f t="shared" si="27"/>
        <v>0</v>
      </c>
      <c r="GG13" s="14">
        <f t="shared" si="27"/>
        <v>0</v>
      </c>
      <c r="GH13" s="14">
        <f t="shared" si="27"/>
        <v>0</v>
      </c>
      <c r="GI13" s="14">
        <f t="shared" si="27"/>
        <v>0</v>
      </c>
      <c r="GJ13" s="14">
        <f t="shared" si="27"/>
        <v>0</v>
      </c>
      <c r="GK13" s="14">
        <f t="shared" si="27"/>
        <v>0</v>
      </c>
      <c r="GL13" s="14">
        <f t="shared" si="27"/>
        <v>0</v>
      </c>
      <c r="GM13" s="14">
        <f t="shared" si="27"/>
        <v>0</v>
      </c>
      <c r="GN13" s="14">
        <f t="shared" si="27"/>
        <v>0</v>
      </c>
      <c r="GO13" s="14">
        <f t="shared" si="27"/>
        <v>0</v>
      </c>
    </row>
    <row r="14" spans="1:197" ht="15">
      <c r="A14" s="28"/>
      <c r="B14" s="28"/>
      <c r="C14" s="24" t="s">
        <v>218</v>
      </c>
      <c r="D14" s="16">
        <f>D13-D12</f>
        <v>275.2</v>
      </c>
      <c r="E14" s="16">
        <f>E13-E12</f>
        <v>275.2</v>
      </c>
      <c r="F14" s="16">
        <f aca="true" t="shared" si="28" ref="F14:BQ14">F13-F12</f>
        <v>225.2</v>
      </c>
      <c r="G14" s="16">
        <f t="shared" si="28"/>
        <v>165.2</v>
      </c>
      <c r="H14" s="16">
        <f t="shared" si="28"/>
        <v>135.2</v>
      </c>
      <c r="I14" s="16">
        <f t="shared" si="28"/>
        <v>135.2</v>
      </c>
      <c r="J14" s="16">
        <f t="shared" si="28"/>
        <v>135.2</v>
      </c>
      <c r="K14" s="16">
        <f t="shared" si="28"/>
        <v>135.2</v>
      </c>
      <c r="L14" s="16">
        <f t="shared" si="28"/>
        <v>135.2</v>
      </c>
      <c r="M14" s="16">
        <f t="shared" si="28"/>
        <v>135.2</v>
      </c>
      <c r="N14" s="16">
        <f t="shared" si="28"/>
        <v>135.2</v>
      </c>
      <c r="O14" s="17">
        <f t="shared" si="28"/>
        <v>0</v>
      </c>
      <c r="P14" s="16">
        <f t="shared" si="28"/>
        <v>0</v>
      </c>
      <c r="Q14" s="16">
        <f t="shared" si="28"/>
        <v>0</v>
      </c>
      <c r="R14" s="16">
        <f t="shared" si="28"/>
        <v>0</v>
      </c>
      <c r="S14" s="16">
        <f t="shared" si="28"/>
        <v>0</v>
      </c>
      <c r="T14" s="16">
        <f t="shared" si="28"/>
        <v>0</v>
      </c>
      <c r="U14" s="16">
        <f t="shared" si="28"/>
        <v>0</v>
      </c>
      <c r="V14" s="16">
        <f t="shared" si="28"/>
        <v>0</v>
      </c>
      <c r="W14" s="16">
        <f t="shared" si="28"/>
        <v>0</v>
      </c>
      <c r="X14" s="17">
        <f t="shared" si="28"/>
        <v>0</v>
      </c>
      <c r="Y14" s="16">
        <f t="shared" si="28"/>
        <v>0</v>
      </c>
      <c r="Z14" s="16">
        <f t="shared" si="28"/>
        <v>0</v>
      </c>
      <c r="AA14" s="17">
        <f t="shared" si="28"/>
        <v>0</v>
      </c>
      <c r="AB14" s="16">
        <f t="shared" si="28"/>
        <v>0</v>
      </c>
      <c r="AC14" s="16">
        <f t="shared" si="28"/>
        <v>0</v>
      </c>
      <c r="AD14" s="17">
        <f t="shared" si="28"/>
        <v>0</v>
      </c>
      <c r="AE14" s="17">
        <f t="shared" si="28"/>
        <v>0</v>
      </c>
      <c r="AF14" s="16">
        <f t="shared" si="28"/>
        <v>0</v>
      </c>
      <c r="AG14" s="16">
        <f t="shared" si="28"/>
        <v>0</v>
      </c>
      <c r="AH14" s="16">
        <f t="shared" si="28"/>
        <v>0</v>
      </c>
      <c r="AI14" s="16">
        <f t="shared" si="28"/>
        <v>0</v>
      </c>
      <c r="AJ14" s="16">
        <f t="shared" si="28"/>
        <v>0</v>
      </c>
      <c r="AK14" s="16">
        <f t="shared" si="28"/>
        <v>0</v>
      </c>
      <c r="AL14" s="16">
        <f t="shared" si="28"/>
        <v>0</v>
      </c>
      <c r="AM14" s="16">
        <f t="shared" si="28"/>
        <v>0</v>
      </c>
      <c r="AN14" s="16">
        <f t="shared" si="28"/>
        <v>384.2</v>
      </c>
      <c r="AO14" s="16">
        <f t="shared" si="28"/>
        <v>384.2</v>
      </c>
      <c r="AP14" s="16">
        <f t="shared" si="28"/>
        <v>134.2</v>
      </c>
      <c r="AQ14" s="16">
        <f t="shared" si="28"/>
        <v>134.2</v>
      </c>
      <c r="AR14" s="16">
        <f t="shared" si="28"/>
        <v>74.19999999999999</v>
      </c>
      <c r="AS14" s="16">
        <f t="shared" si="28"/>
        <v>34.19999999999999</v>
      </c>
      <c r="AT14" s="16">
        <f t="shared" si="28"/>
        <v>0</v>
      </c>
      <c r="AU14" s="16">
        <f t="shared" si="28"/>
        <v>0</v>
      </c>
      <c r="AV14" s="16">
        <f t="shared" si="28"/>
        <v>0</v>
      </c>
      <c r="AW14" s="16">
        <f t="shared" si="28"/>
        <v>0</v>
      </c>
      <c r="AX14" s="16">
        <f t="shared" si="28"/>
        <v>0</v>
      </c>
      <c r="AY14" s="16">
        <f t="shared" si="28"/>
        <v>0</v>
      </c>
      <c r="AZ14" s="16">
        <f t="shared" si="28"/>
        <v>0</v>
      </c>
      <c r="BA14" s="16">
        <f t="shared" si="28"/>
        <v>0</v>
      </c>
      <c r="BB14" s="16">
        <f t="shared" si="28"/>
        <v>0</v>
      </c>
      <c r="BC14" s="16">
        <f t="shared" si="28"/>
        <v>0</v>
      </c>
      <c r="BD14" s="16">
        <f t="shared" si="28"/>
        <v>0</v>
      </c>
      <c r="BE14" s="16">
        <f t="shared" si="28"/>
        <v>0</v>
      </c>
      <c r="BF14" s="16">
        <f t="shared" si="28"/>
        <v>0</v>
      </c>
      <c r="BG14" s="16">
        <f t="shared" si="28"/>
        <v>0</v>
      </c>
      <c r="BH14" s="16">
        <f t="shared" si="28"/>
        <v>0</v>
      </c>
      <c r="BI14" s="16">
        <f t="shared" si="28"/>
        <v>0</v>
      </c>
      <c r="BJ14" s="16">
        <f t="shared" si="28"/>
        <v>0</v>
      </c>
      <c r="BK14" s="16">
        <f t="shared" si="28"/>
        <v>0</v>
      </c>
      <c r="BL14" s="16">
        <f t="shared" si="28"/>
        <v>0</v>
      </c>
      <c r="BM14" s="16">
        <f t="shared" si="28"/>
        <v>0</v>
      </c>
      <c r="BN14" s="16">
        <f t="shared" si="28"/>
        <v>400.20000000000005</v>
      </c>
      <c r="BO14" s="16">
        <f t="shared" si="28"/>
        <v>400.20000000000005</v>
      </c>
      <c r="BP14" s="16">
        <f t="shared" si="28"/>
        <v>150.20000000000005</v>
      </c>
      <c r="BQ14" s="16">
        <f t="shared" si="28"/>
        <v>0</v>
      </c>
      <c r="BR14" s="16">
        <f aca="true" t="shared" si="29" ref="BR14:EC14">BR13-BR12</f>
        <v>0</v>
      </c>
      <c r="BS14" s="16">
        <f t="shared" si="29"/>
        <v>0</v>
      </c>
      <c r="BT14" s="27">
        <f t="shared" si="29"/>
        <v>0</v>
      </c>
      <c r="BU14" s="27">
        <f t="shared" si="29"/>
        <v>0</v>
      </c>
      <c r="BV14" s="27">
        <f t="shared" si="29"/>
        <v>0</v>
      </c>
      <c r="BW14" s="16">
        <f t="shared" si="29"/>
        <v>0</v>
      </c>
      <c r="BX14" s="16">
        <f t="shared" si="29"/>
        <v>0</v>
      </c>
      <c r="BY14" s="16">
        <f t="shared" si="29"/>
        <v>-0.7</v>
      </c>
      <c r="BZ14" s="16">
        <f t="shared" si="29"/>
        <v>-0.7</v>
      </c>
      <c r="CA14" s="16">
        <f t="shared" si="29"/>
        <v>-0.7</v>
      </c>
      <c r="CB14" s="16">
        <f t="shared" si="29"/>
        <v>-0.7</v>
      </c>
      <c r="CC14" s="16">
        <f t="shared" si="29"/>
        <v>-0.7</v>
      </c>
      <c r="CD14" s="16">
        <f t="shared" si="29"/>
        <v>-0.7</v>
      </c>
      <c r="CE14" s="16">
        <f t="shared" si="29"/>
        <v>-0.7</v>
      </c>
      <c r="CF14" s="16">
        <f t="shared" si="29"/>
        <v>-0.7</v>
      </c>
      <c r="CG14" s="16">
        <f t="shared" si="29"/>
        <v>-0.7</v>
      </c>
      <c r="CH14" s="16">
        <f t="shared" si="29"/>
        <v>-0.7</v>
      </c>
      <c r="CI14" s="16">
        <f t="shared" si="29"/>
        <v>-0.7</v>
      </c>
      <c r="CJ14" s="16">
        <f t="shared" si="29"/>
        <v>424.3</v>
      </c>
      <c r="CK14" s="16">
        <f t="shared" si="29"/>
        <v>424.3</v>
      </c>
      <c r="CL14" s="16">
        <f t="shared" si="29"/>
        <v>424.3</v>
      </c>
      <c r="CM14" s="16">
        <f t="shared" si="29"/>
        <v>424.3</v>
      </c>
      <c r="CN14" s="16">
        <f t="shared" si="29"/>
        <v>424.3</v>
      </c>
      <c r="CO14" s="16">
        <f t="shared" si="29"/>
        <v>422.6</v>
      </c>
      <c r="CP14" s="16">
        <f t="shared" si="29"/>
        <v>-1.6999999999999886</v>
      </c>
      <c r="CQ14" s="16">
        <f t="shared" si="29"/>
        <v>-1.6999999999999886</v>
      </c>
      <c r="CR14" s="16">
        <f t="shared" si="29"/>
        <v>-1.6999999999999886</v>
      </c>
      <c r="CS14" s="16">
        <f t="shared" si="29"/>
        <v>-1.6999999999999886</v>
      </c>
      <c r="CT14" s="16">
        <f t="shared" si="29"/>
        <v>-1.6999999999999886</v>
      </c>
      <c r="CU14" s="16">
        <f t="shared" si="29"/>
        <v>-1.6999999999999886</v>
      </c>
      <c r="CV14" s="16">
        <f t="shared" si="29"/>
        <v>-1.6999999999999886</v>
      </c>
      <c r="CW14" s="16">
        <f t="shared" si="29"/>
        <v>-1.6999999999999886</v>
      </c>
      <c r="CX14" s="16">
        <f t="shared" si="29"/>
        <v>-1.6999999999999886</v>
      </c>
      <c r="CY14" s="16">
        <f t="shared" si="29"/>
        <v>-1.6999999999999886</v>
      </c>
      <c r="CZ14" s="16">
        <f t="shared" si="29"/>
        <v>-1.6999999999999886</v>
      </c>
      <c r="DA14" s="16">
        <f t="shared" si="29"/>
        <v>-1.6999999999999886</v>
      </c>
      <c r="DB14" s="16">
        <f t="shared" si="29"/>
        <v>-1.6999999999999886</v>
      </c>
      <c r="DC14" s="16">
        <f t="shared" si="29"/>
        <v>-1.6999999999999886</v>
      </c>
      <c r="DD14" s="16">
        <f t="shared" si="29"/>
        <v>-1.6999999999999886</v>
      </c>
      <c r="DE14" s="16">
        <f t="shared" si="29"/>
        <v>-1.6999999999999886</v>
      </c>
      <c r="DF14" s="16">
        <f t="shared" si="29"/>
        <v>-1.6999999999999886</v>
      </c>
      <c r="DG14" s="16">
        <f t="shared" si="29"/>
        <v>-1.6999999999999886</v>
      </c>
      <c r="DH14" s="16">
        <f t="shared" si="29"/>
        <v>377.3</v>
      </c>
      <c r="DI14" s="16">
        <f t="shared" si="29"/>
        <v>377.3</v>
      </c>
      <c r="DJ14" s="16">
        <f t="shared" si="29"/>
        <v>377.3</v>
      </c>
      <c r="DK14" s="16">
        <f t="shared" si="29"/>
        <v>377.3</v>
      </c>
      <c r="DL14" s="16">
        <f t="shared" si="29"/>
        <v>377.3</v>
      </c>
      <c r="DM14" s="16">
        <f t="shared" si="29"/>
        <v>377.3</v>
      </c>
      <c r="DN14" s="16">
        <f t="shared" si="29"/>
        <v>332.3</v>
      </c>
      <c r="DO14" s="16">
        <f t="shared" si="29"/>
        <v>332.3</v>
      </c>
      <c r="DP14" s="17">
        <f t="shared" si="29"/>
        <v>0</v>
      </c>
      <c r="DQ14" s="17">
        <f t="shared" si="29"/>
        <v>0</v>
      </c>
      <c r="DR14" s="17">
        <f t="shared" si="29"/>
        <v>0</v>
      </c>
      <c r="DS14" s="17">
        <f t="shared" si="29"/>
        <v>0</v>
      </c>
      <c r="DT14" s="17">
        <f t="shared" si="29"/>
        <v>0</v>
      </c>
      <c r="DU14" s="16">
        <f t="shared" si="29"/>
        <v>0</v>
      </c>
      <c r="DV14" s="16">
        <f t="shared" si="29"/>
        <v>0</v>
      </c>
      <c r="DW14" s="16">
        <f t="shared" si="29"/>
        <v>0</v>
      </c>
      <c r="DX14" s="16">
        <f t="shared" si="29"/>
        <v>0</v>
      </c>
      <c r="DY14" s="16">
        <f t="shared" si="29"/>
        <v>0</v>
      </c>
      <c r="DZ14" s="16">
        <f t="shared" si="29"/>
        <v>0</v>
      </c>
      <c r="EA14" s="16">
        <f t="shared" si="29"/>
        <v>0</v>
      </c>
      <c r="EB14" s="16">
        <f t="shared" si="29"/>
        <v>0</v>
      </c>
      <c r="EC14" s="16">
        <f t="shared" si="29"/>
        <v>0</v>
      </c>
      <c r="ED14" s="16">
        <f aca="true" t="shared" si="30" ref="ED14:GO14">ED13-ED12</f>
        <v>0</v>
      </c>
      <c r="EE14" s="16">
        <f t="shared" si="30"/>
        <v>0</v>
      </c>
      <c r="EF14" s="16">
        <f t="shared" si="30"/>
        <v>0</v>
      </c>
      <c r="EG14" s="16">
        <f t="shared" si="30"/>
        <v>0</v>
      </c>
      <c r="EH14" s="16">
        <f t="shared" si="30"/>
        <v>0</v>
      </c>
      <c r="EI14" s="16">
        <f t="shared" si="30"/>
        <v>0</v>
      </c>
      <c r="EJ14" s="16">
        <f t="shared" si="30"/>
        <v>0</v>
      </c>
      <c r="EK14" s="16">
        <f t="shared" si="30"/>
        <v>417.5</v>
      </c>
      <c r="EL14" s="16">
        <f t="shared" si="30"/>
        <v>417.5</v>
      </c>
      <c r="EM14" s="16">
        <f t="shared" si="30"/>
        <v>417.5</v>
      </c>
      <c r="EN14" s="16">
        <f t="shared" si="30"/>
        <v>417.5</v>
      </c>
      <c r="EO14" s="16">
        <f t="shared" si="30"/>
        <v>417.5</v>
      </c>
      <c r="EP14" s="16">
        <f t="shared" si="30"/>
        <v>67.5</v>
      </c>
      <c r="EQ14" s="16">
        <f t="shared" si="30"/>
        <v>12.5</v>
      </c>
      <c r="ER14" s="16">
        <f t="shared" si="30"/>
        <v>12.5</v>
      </c>
      <c r="ES14" s="16">
        <f t="shared" si="30"/>
        <v>12.5</v>
      </c>
      <c r="ET14" s="16">
        <f t="shared" si="30"/>
        <v>12.5</v>
      </c>
      <c r="EU14" s="16">
        <f t="shared" si="30"/>
        <v>12.5</v>
      </c>
      <c r="EV14" s="16">
        <f t="shared" si="30"/>
        <v>12.5</v>
      </c>
      <c r="EW14" s="16">
        <f t="shared" si="30"/>
        <v>10.5</v>
      </c>
      <c r="EX14" s="16">
        <f t="shared" si="30"/>
        <v>10.5</v>
      </c>
      <c r="EY14" s="16">
        <f t="shared" si="30"/>
        <v>10.5</v>
      </c>
      <c r="EZ14" s="16">
        <f t="shared" si="30"/>
        <v>0</v>
      </c>
      <c r="FA14" s="16">
        <f t="shared" si="30"/>
        <v>0</v>
      </c>
      <c r="FB14" s="16">
        <f t="shared" si="30"/>
        <v>0</v>
      </c>
      <c r="FC14" s="16">
        <f t="shared" si="30"/>
        <v>0</v>
      </c>
      <c r="FD14" s="16">
        <f t="shared" si="30"/>
        <v>0</v>
      </c>
      <c r="FE14" s="16">
        <f t="shared" si="30"/>
        <v>0</v>
      </c>
      <c r="FF14" s="16">
        <f t="shared" si="30"/>
        <v>0</v>
      </c>
      <c r="FG14" s="16">
        <f t="shared" si="30"/>
        <v>0</v>
      </c>
      <c r="FH14" s="16">
        <f t="shared" si="30"/>
        <v>0</v>
      </c>
      <c r="FI14" s="16">
        <f t="shared" si="30"/>
        <v>0</v>
      </c>
      <c r="FJ14" s="16">
        <f t="shared" si="30"/>
        <v>0</v>
      </c>
      <c r="FK14" s="16">
        <f t="shared" si="30"/>
        <v>0</v>
      </c>
      <c r="FL14" s="16">
        <f t="shared" si="30"/>
        <v>0</v>
      </c>
      <c r="FM14" s="16">
        <f t="shared" si="30"/>
        <v>0</v>
      </c>
      <c r="FN14" s="16">
        <f t="shared" si="30"/>
        <v>0</v>
      </c>
      <c r="FO14" s="16">
        <f t="shared" si="30"/>
        <v>0</v>
      </c>
      <c r="FP14" s="16">
        <f t="shared" si="30"/>
        <v>0</v>
      </c>
      <c r="FQ14" s="16">
        <f t="shared" si="30"/>
        <v>0</v>
      </c>
      <c r="FR14" s="16">
        <f t="shared" si="30"/>
        <v>380.5</v>
      </c>
      <c r="FS14" s="16">
        <f t="shared" si="30"/>
        <v>380.5</v>
      </c>
      <c r="FT14" s="16">
        <f t="shared" si="30"/>
        <v>380.5</v>
      </c>
      <c r="FU14" s="16">
        <f t="shared" si="30"/>
        <v>330.5</v>
      </c>
      <c r="FV14" s="16">
        <f t="shared" si="30"/>
        <v>280.5</v>
      </c>
      <c r="FW14" s="16">
        <f t="shared" si="30"/>
        <v>280.5</v>
      </c>
      <c r="FX14" s="16">
        <f t="shared" si="30"/>
        <v>230.5</v>
      </c>
      <c r="FY14" s="16">
        <f t="shared" si="30"/>
        <v>170.5</v>
      </c>
      <c r="FZ14" s="16">
        <f t="shared" si="30"/>
        <v>110.5</v>
      </c>
      <c r="GA14" s="16">
        <f t="shared" si="30"/>
        <v>50.5</v>
      </c>
      <c r="GB14" s="16">
        <f t="shared" si="30"/>
        <v>0</v>
      </c>
      <c r="GC14" s="16">
        <f t="shared" si="30"/>
        <v>0</v>
      </c>
      <c r="GD14" s="16">
        <f t="shared" si="30"/>
        <v>0</v>
      </c>
      <c r="GE14" s="16">
        <f t="shared" si="30"/>
        <v>0</v>
      </c>
      <c r="GF14" s="16">
        <f t="shared" si="30"/>
        <v>0</v>
      </c>
      <c r="GG14" s="16">
        <f t="shared" si="30"/>
        <v>0</v>
      </c>
      <c r="GH14" s="16">
        <f t="shared" si="30"/>
        <v>0</v>
      </c>
      <c r="GI14" s="16">
        <f t="shared" si="30"/>
        <v>0</v>
      </c>
      <c r="GJ14" s="16">
        <f t="shared" si="30"/>
        <v>0</v>
      </c>
      <c r="GK14" s="16">
        <f t="shared" si="30"/>
        <v>0</v>
      </c>
      <c r="GL14" s="16">
        <f t="shared" si="30"/>
        <v>0</v>
      </c>
      <c r="GM14" s="16">
        <f t="shared" si="30"/>
        <v>0</v>
      </c>
      <c r="GN14" s="16">
        <f t="shared" si="30"/>
        <v>0</v>
      </c>
      <c r="GO14" s="16">
        <f t="shared" si="30"/>
        <v>0</v>
      </c>
    </row>
    <row r="15" spans="1:256" s="9" customFormat="1" ht="15">
      <c r="A15" s="2" t="s">
        <v>222</v>
      </c>
      <c r="B15" s="4">
        <v>25</v>
      </c>
      <c r="C15" s="12" t="s">
        <v>216</v>
      </c>
      <c r="G15" s="19">
        <v>64.1</v>
      </c>
      <c r="H15" s="19">
        <v>95.2</v>
      </c>
      <c r="O15" s="29"/>
      <c r="X15" s="29"/>
      <c r="AA15" s="29"/>
      <c r="AD15" s="29"/>
      <c r="AE15" s="29"/>
      <c r="AG15" s="19">
        <v>11</v>
      </c>
      <c r="AP15" s="19">
        <v>69</v>
      </c>
      <c r="BB15" s="30">
        <v>63.3</v>
      </c>
      <c r="BP15" s="19">
        <v>66.2</v>
      </c>
      <c r="BT15" s="31"/>
      <c r="BU15" s="31"/>
      <c r="BV15" s="31"/>
      <c r="BX15" s="30">
        <v>35</v>
      </c>
      <c r="BY15" s="19">
        <v>32.5</v>
      </c>
      <c r="CF15" s="30">
        <v>67.9</v>
      </c>
      <c r="CP15" s="19">
        <v>53.9</v>
      </c>
      <c r="DB15" s="30">
        <v>30</v>
      </c>
      <c r="DD15" s="19">
        <v>35.7</v>
      </c>
      <c r="DP15" s="29"/>
      <c r="DQ15" s="19">
        <v>67.8</v>
      </c>
      <c r="DR15" s="29"/>
      <c r="DS15" s="29"/>
      <c r="DT15" s="29"/>
      <c r="DX15" s="30">
        <v>34.8</v>
      </c>
      <c r="DY15" s="30">
        <v>30</v>
      </c>
      <c r="EC15" s="30">
        <v>6</v>
      </c>
      <c r="ED15" s="30">
        <v>25</v>
      </c>
      <c r="EE15" s="30">
        <v>25</v>
      </c>
      <c r="EF15" s="19">
        <v>12.7</v>
      </c>
      <c r="ER15" s="19">
        <v>68.8</v>
      </c>
      <c r="FI15" s="99">
        <v>30</v>
      </c>
      <c r="FR15" s="9">
        <v>63.5</v>
      </c>
      <c r="FT15" s="9">
        <v>35</v>
      </c>
      <c r="FY15" s="9">
        <v>30</v>
      </c>
      <c r="FZ15" s="9">
        <v>35</v>
      </c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197" ht="15">
      <c r="A16" s="32"/>
      <c r="B16" s="28"/>
      <c r="C16" s="24" t="s">
        <v>217</v>
      </c>
      <c r="D16" s="14">
        <v>159.3</v>
      </c>
      <c r="E16" s="14">
        <f>D17</f>
        <v>159.3</v>
      </c>
      <c r="F16" s="14">
        <f aca="true" t="shared" si="31" ref="F16:BQ16">E17</f>
        <v>159.3</v>
      </c>
      <c r="G16" s="14">
        <f t="shared" si="31"/>
        <v>159.3</v>
      </c>
      <c r="H16" s="14">
        <f t="shared" si="31"/>
        <v>95.20000000000002</v>
      </c>
      <c r="I16" s="14">
        <f t="shared" si="31"/>
        <v>0</v>
      </c>
      <c r="J16" s="14">
        <f t="shared" si="31"/>
        <v>0</v>
      </c>
      <c r="K16" s="14">
        <f t="shared" si="31"/>
        <v>0</v>
      </c>
      <c r="L16" s="14">
        <f t="shared" si="31"/>
        <v>0</v>
      </c>
      <c r="M16" s="14">
        <f t="shared" si="31"/>
        <v>0</v>
      </c>
      <c r="N16" s="14">
        <f t="shared" si="31"/>
        <v>0</v>
      </c>
      <c r="O16" s="15">
        <f t="shared" si="31"/>
        <v>0</v>
      </c>
      <c r="P16" s="14">
        <f t="shared" si="31"/>
        <v>0</v>
      </c>
      <c r="Q16" s="14">
        <f t="shared" si="31"/>
        <v>0</v>
      </c>
      <c r="R16" s="14">
        <f t="shared" si="31"/>
        <v>0</v>
      </c>
      <c r="S16" s="14">
        <f t="shared" si="31"/>
        <v>0</v>
      </c>
      <c r="T16" s="14">
        <f t="shared" si="31"/>
        <v>0</v>
      </c>
      <c r="U16" s="14">
        <f t="shared" si="31"/>
        <v>0</v>
      </c>
      <c r="V16" s="14">
        <f t="shared" si="31"/>
        <v>0</v>
      </c>
      <c r="W16" s="14">
        <f t="shared" si="31"/>
        <v>0</v>
      </c>
      <c r="X16" s="15">
        <f t="shared" si="31"/>
        <v>0</v>
      </c>
      <c r="Y16" s="14">
        <f t="shared" si="31"/>
        <v>0</v>
      </c>
      <c r="Z16" s="14">
        <f t="shared" si="31"/>
        <v>0</v>
      </c>
      <c r="AA16" s="15">
        <f t="shared" si="31"/>
        <v>0</v>
      </c>
      <c r="AB16" s="14">
        <f t="shared" si="31"/>
        <v>0</v>
      </c>
      <c r="AC16" s="14">
        <f t="shared" si="31"/>
        <v>0</v>
      </c>
      <c r="AD16" s="15">
        <f t="shared" si="31"/>
        <v>0</v>
      </c>
      <c r="AE16" s="15">
        <f t="shared" si="31"/>
        <v>0</v>
      </c>
      <c r="AF16" s="14">
        <f t="shared" si="31"/>
        <v>0</v>
      </c>
      <c r="AG16" s="14">
        <f t="shared" si="31"/>
        <v>0</v>
      </c>
      <c r="AH16" s="14">
        <f>AG17+69</f>
        <v>58</v>
      </c>
      <c r="AI16" s="14">
        <f t="shared" si="31"/>
        <v>58</v>
      </c>
      <c r="AJ16" s="14">
        <f t="shared" si="31"/>
        <v>58</v>
      </c>
      <c r="AK16" s="14">
        <f t="shared" si="31"/>
        <v>58</v>
      </c>
      <c r="AL16" s="14">
        <f t="shared" si="31"/>
        <v>58</v>
      </c>
      <c r="AM16" s="14">
        <f t="shared" si="31"/>
        <v>58</v>
      </c>
      <c r="AN16" s="14">
        <f t="shared" si="31"/>
        <v>58</v>
      </c>
      <c r="AO16" s="14">
        <f t="shared" si="31"/>
        <v>58</v>
      </c>
      <c r="AP16" s="14">
        <f t="shared" si="31"/>
        <v>58</v>
      </c>
      <c r="AQ16" s="14">
        <f t="shared" si="31"/>
        <v>-11</v>
      </c>
      <c r="AR16" s="14">
        <f t="shared" si="31"/>
        <v>-11</v>
      </c>
      <c r="AS16" s="14">
        <f t="shared" si="31"/>
        <v>-11</v>
      </c>
      <c r="AT16" s="14">
        <f t="shared" si="31"/>
        <v>-11</v>
      </c>
      <c r="AU16" s="14">
        <f>AT17+74.3</f>
        <v>63.3</v>
      </c>
      <c r="AV16" s="14">
        <f t="shared" si="31"/>
        <v>63.3</v>
      </c>
      <c r="AW16" s="14">
        <f t="shared" si="31"/>
        <v>63.3</v>
      </c>
      <c r="AX16" s="14">
        <f t="shared" si="31"/>
        <v>63.3</v>
      </c>
      <c r="AY16" s="14">
        <f t="shared" si="31"/>
        <v>63.3</v>
      </c>
      <c r="AZ16" s="14">
        <f t="shared" si="31"/>
        <v>63.3</v>
      </c>
      <c r="BA16" s="14">
        <f t="shared" si="31"/>
        <v>63.3</v>
      </c>
      <c r="BB16" s="14">
        <f t="shared" si="31"/>
        <v>63.3</v>
      </c>
      <c r="BC16" s="14">
        <f>BB17+66.2</f>
        <v>66.2</v>
      </c>
      <c r="BD16" s="14">
        <f t="shared" si="31"/>
        <v>66.2</v>
      </c>
      <c r="BE16" s="14">
        <f t="shared" si="31"/>
        <v>66.2</v>
      </c>
      <c r="BF16" s="14">
        <f t="shared" si="31"/>
        <v>66.2</v>
      </c>
      <c r="BG16" s="14">
        <f t="shared" si="31"/>
        <v>66.2</v>
      </c>
      <c r="BH16" s="14">
        <f t="shared" si="31"/>
        <v>66.2</v>
      </c>
      <c r="BI16" s="14">
        <f t="shared" si="31"/>
        <v>66.2</v>
      </c>
      <c r="BJ16" s="14">
        <f t="shared" si="31"/>
        <v>66.2</v>
      </c>
      <c r="BK16" s="14">
        <f t="shared" si="31"/>
        <v>66.2</v>
      </c>
      <c r="BL16" s="14">
        <f t="shared" si="31"/>
        <v>66.2</v>
      </c>
      <c r="BM16" s="14">
        <f t="shared" si="31"/>
        <v>66.2</v>
      </c>
      <c r="BN16" s="14">
        <f t="shared" si="31"/>
        <v>66.2</v>
      </c>
      <c r="BO16" s="14">
        <f>BN17+67.5</f>
        <v>133.7</v>
      </c>
      <c r="BP16" s="14">
        <f t="shared" si="31"/>
        <v>133.7</v>
      </c>
      <c r="BQ16" s="14">
        <f t="shared" si="31"/>
        <v>67.49999999999999</v>
      </c>
      <c r="BR16" s="14">
        <f aca="true" t="shared" si="32" ref="BR16:EC16">BQ17</f>
        <v>67.49999999999999</v>
      </c>
      <c r="BS16" s="14">
        <f t="shared" si="32"/>
        <v>67.49999999999999</v>
      </c>
      <c r="BT16" s="26">
        <f t="shared" si="32"/>
        <v>67.49999999999999</v>
      </c>
      <c r="BU16" s="26">
        <f t="shared" si="32"/>
        <v>67.49999999999999</v>
      </c>
      <c r="BV16" s="26">
        <f t="shared" si="32"/>
        <v>67.49999999999999</v>
      </c>
      <c r="BW16" s="14">
        <f t="shared" si="32"/>
        <v>67.49999999999999</v>
      </c>
      <c r="BX16" s="14">
        <f t="shared" si="32"/>
        <v>67.49999999999999</v>
      </c>
      <c r="BY16" s="14">
        <f t="shared" si="32"/>
        <v>32.499999999999986</v>
      </c>
      <c r="BZ16" s="14">
        <f>BY17+67.9</f>
        <v>67.9</v>
      </c>
      <c r="CA16" s="14">
        <f t="shared" si="32"/>
        <v>67.9</v>
      </c>
      <c r="CB16" s="14">
        <f t="shared" si="32"/>
        <v>67.9</v>
      </c>
      <c r="CC16" s="14">
        <f t="shared" si="32"/>
        <v>67.9</v>
      </c>
      <c r="CD16" s="14">
        <f t="shared" si="32"/>
        <v>67.9</v>
      </c>
      <c r="CE16" s="14">
        <f t="shared" si="32"/>
        <v>67.9</v>
      </c>
      <c r="CF16" s="14">
        <f t="shared" si="32"/>
        <v>67.9</v>
      </c>
      <c r="CG16" s="14">
        <f t="shared" si="32"/>
        <v>0</v>
      </c>
      <c r="CH16" s="14">
        <f t="shared" si="32"/>
        <v>0</v>
      </c>
      <c r="CI16" s="14">
        <f t="shared" si="32"/>
        <v>0</v>
      </c>
      <c r="CJ16" s="14">
        <f t="shared" si="32"/>
        <v>0</v>
      </c>
      <c r="CK16" s="14">
        <f t="shared" si="32"/>
        <v>0</v>
      </c>
      <c r="CL16" s="14">
        <f>CK17+53.9</f>
        <v>53.9</v>
      </c>
      <c r="CM16" s="14">
        <f t="shared" si="32"/>
        <v>53.9</v>
      </c>
      <c r="CN16" s="14">
        <f t="shared" si="32"/>
        <v>53.9</v>
      </c>
      <c r="CO16" s="14">
        <f t="shared" si="32"/>
        <v>53.9</v>
      </c>
      <c r="CP16" s="14">
        <f t="shared" si="32"/>
        <v>53.9</v>
      </c>
      <c r="CQ16" s="14">
        <f t="shared" si="32"/>
        <v>0</v>
      </c>
      <c r="CR16" s="14">
        <f t="shared" si="32"/>
        <v>0</v>
      </c>
      <c r="CS16" s="14">
        <f t="shared" si="32"/>
        <v>0</v>
      </c>
      <c r="CT16" s="14">
        <f t="shared" si="32"/>
        <v>0</v>
      </c>
      <c r="CU16" s="14">
        <f t="shared" si="32"/>
        <v>0</v>
      </c>
      <c r="CV16" s="14">
        <f>CU17+65.7</f>
        <v>65.7</v>
      </c>
      <c r="CW16" s="14">
        <f t="shared" si="32"/>
        <v>65.7</v>
      </c>
      <c r="CX16" s="14">
        <f t="shared" si="32"/>
        <v>65.7</v>
      </c>
      <c r="CY16" s="14">
        <f t="shared" si="32"/>
        <v>65.7</v>
      </c>
      <c r="CZ16" s="14">
        <f t="shared" si="32"/>
        <v>65.7</v>
      </c>
      <c r="DA16" s="14">
        <f t="shared" si="32"/>
        <v>65.7</v>
      </c>
      <c r="DB16" s="14">
        <f t="shared" si="32"/>
        <v>65.7</v>
      </c>
      <c r="DC16" s="14">
        <f t="shared" si="32"/>
        <v>35.7</v>
      </c>
      <c r="DD16" s="14">
        <f t="shared" si="32"/>
        <v>35.7</v>
      </c>
      <c r="DE16" s="14">
        <f t="shared" si="32"/>
        <v>0</v>
      </c>
      <c r="DF16" s="14">
        <f t="shared" si="32"/>
        <v>0</v>
      </c>
      <c r="DG16" s="14">
        <f t="shared" si="32"/>
        <v>0</v>
      </c>
      <c r="DH16" s="14">
        <f>DG17+67.8</f>
        <v>67.8</v>
      </c>
      <c r="DI16" s="14">
        <f t="shared" si="32"/>
        <v>67.8</v>
      </c>
      <c r="DJ16" s="14">
        <f t="shared" si="32"/>
        <v>67.8</v>
      </c>
      <c r="DK16" s="14">
        <f t="shared" si="32"/>
        <v>67.8</v>
      </c>
      <c r="DL16" s="14">
        <f t="shared" si="32"/>
        <v>67.8</v>
      </c>
      <c r="DM16" s="14">
        <f t="shared" si="32"/>
        <v>67.8</v>
      </c>
      <c r="DN16" s="14">
        <f>DM17+64.8</f>
        <v>132.6</v>
      </c>
      <c r="DO16" s="14">
        <f t="shared" si="32"/>
        <v>132.6</v>
      </c>
      <c r="DP16" s="15">
        <f t="shared" si="32"/>
        <v>132.6</v>
      </c>
      <c r="DQ16" s="15">
        <f t="shared" si="32"/>
        <v>132.6</v>
      </c>
      <c r="DR16" s="15">
        <f t="shared" si="32"/>
        <v>64.8</v>
      </c>
      <c r="DS16" s="15">
        <f t="shared" si="32"/>
        <v>64.8</v>
      </c>
      <c r="DT16" s="15">
        <f t="shared" si="32"/>
        <v>64.8</v>
      </c>
      <c r="DU16" s="14">
        <f t="shared" si="32"/>
        <v>64.8</v>
      </c>
      <c r="DV16" s="14">
        <f t="shared" si="32"/>
        <v>64.8</v>
      </c>
      <c r="DW16" s="14">
        <f t="shared" si="32"/>
        <v>64.8</v>
      </c>
      <c r="DX16" s="14">
        <f t="shared" si="32"/>
        <v>64.8</v>
      </c>
      <c r="DY16" s="14">
        <f t="shared" si="32"/>
        <v>30</v>
      </c>
      <c r="DZ16" s="14">
        <f t="shared" si="32"/>
        <v>0</v>
      </c>
      <c r="EA16" s="14">
        <f t="shared" si="32"/>
        <v>0</v>
      </c>
      <c r="EB16" s="14">
        <f>EA17+68.7</f>
        <v>68.7</v>
      </c>
      <c r="EC16" s="14">
        <f t="shared" si="32"/>
        <v>68.7</v>
      </c>
      <c r="ED16" s="14">
        <f aca="true" t="shared" si="33" ref="ED16:GO16">EC17</f>
        <v>62.7</v>
      </c>
      <c r="EE16" s="14">
        <f t="shared" si="33"/>
        <v>37.7</v>
      </c>
      <c r="EF16" s="14">
        <f t="shared" si="33"/>
        <v>12.700000000000003</v>
      </c>
      <c r="EG16" s="14">
        <f t="shared" si="33"/>
        <v>0</v>
      </c>
      <c r="EH16" s="14">
        <f t="shared" si="33"/>
        <v>0</v>
      </c>
      <c r="EI16" s="14">
        <f t="shared" si="33"/>
        <v>0</v>
      </c>
      <c r="EJ16" s="14">
        <f t="shared" si="33"/>
        <v>0</v>
      </c>
      <c r="EK16" s="14">
        <f t="shared" si="33"/>
        <v>0</v>
      </c>
      <c r="EL16" s="14">
        <f t="shared" si="33"/>
        <v>0</v>
      </c>
      <c r="EM16" s="14">
        <f t="shared" si="33"/>
        <v>0</v>
      </c>
      <c r="EN16" s="14">
        <f>EM17+68.8</f>
        <v>68.8</v>
      </c>
      <c r="EO16" s="14">
        <f t="shared" si="33"/>
        <v>68.8</v>
      </c>
      <c r="EP16" s="14">
        <f t="shared" si="33"/>
        <v>68.8</v>
      </c>
      <c r="EQ16" s="14">
        <f t="shared" si="33"/>
        <v>68.8</v>
      </c>
      <c r="ER16" s="14">
        <f>EQ17</f>
        <v>68.8</v>
      </c>
      <c r="ES16" s="14">
        <f>ER17</f>
        <v>0</v>
      </c>
      <c r="ET16" s="14">
        <f>ES17</f>
        <v>0</v>
      </c>
      <c r="EU16" s="14">
        <f t="shared" si="33"/>
        <v>0</v>
      </c>
      <c r="EV16" s="14">
        <f t="shared" si="33"/>
        <v>0</v>
      </c>
      <c r="EW16" s="14">
        <f t="shared" si="33"/>
        <v>0</v>
      </c>
      <c r="EX16" s="14">
        <f t="shared" si="33"/>
        <v>0</v>
      </c>
      <c r="EY16" s="14">
        <f t="shared" si="33"/>
        <v>0</v>
      </c>
      <c r="EZ16" s="14">
        <f>EY17+65</f>
        <v>65</v>
      </c>
      <c r="FA16" s="14">
        <f t="shared" si="33"/>
        <v>65</v>
      </c>
      <c r="FB16" s="14">
        <f t="shared" si="33"/>
        <v>65</v>
      </c>
      <c r="FC16" s="14">
        <f t="shared" si="33"/>
        <v>65</v>
      </c>
      <c r="FD16" s="14">
        <f t="shared" si="33"/>
        <v>65</v>
      </c>
      <c r="FE16" s="14">
        <f t="shared" si="33"/>
        <v>65</v>
      </c>
      <c r="FF16" s="14">
        <f t="shared" si="33"/>
        <v>65</v>
      </c>
      <c r="FG16" s="14">
        <f t="shared" si="33"/>
        <v>65</v>
      </c>
      <c r="FH16" s="14">
        <f t="shared" si="33"/>
        <v>65</v>
      </c>
      <c r="FI16" s="14">
        <f t="shared" si="33"/>
        <v>65</v>
      </c>
      <c r="FJ16" s="14">
        <f t="shared" si="33"/>
        <v>35</v>
      </c>
      <c r="FK16" s="14">
        <f t="shared" si="33"/>
        <v>35</v>
      </c>
      <c r="FL16" s="14">
        <f>FK17+63.5</f>
        <v>98.5</v>
      </c>
      <c r="FM16" s="14">
        <f t="shared" si="33"/>
        <v>98.5</v>
      </c>
      <c r="FN16" s="14">
        <f t="shared" si="33"/>
        <v>98.5</v>
      </c>
      <c r="FO16" s="14">
        <f t="shared" si="33"/>
        <v>98.5</v>
      </c>
      <c r="FP16" s="14">
        <f t="shared" si="33"/>
        <v>98.5</v>
      </c>
      <c r="FQ16" s="14">
        <f t="shared" si="33"/>
        <v>98.5</v>
      </c>
      <c r="FR16" s="14">
        <f t="shared" si="33"/>
        <v>98.5</v>
      </c>
      <c r="FS16" s="14">
        <f>FR17+65</f>
        <v>100</v>
      </c>
      <c r="FT16" s="14">
        <f t="shared" si="33"/>
        <v>100</v>
      </c>
      <c r="FU16" s="14">
        <f t="shared" si="33"/>
        <v>65</v>
      </c>
      <c r="FV16" s="14">
        <f t="shared" si="33"/>
        <v>65</v>
      </c>
      <c r="FW16" s="14">
        <f t="shared" si="33"/>
        <v>65</v>
      </c>
      <c r="FX16" s="14">
        <f t="shared" si="33"/>
        <v>65</v>
      </c>
      <c r="FY16" s="14">
        <f t="shared" si="33"/>
        <v>65</v>
      </c>
      <c r="FZ16" s="14">
        <f t="shared" si="33"/>
        <v>35</v>
      </c>
      <c r="GA16" s="14">
        <f t="shared" si="33"/>
        <v>0</v>
      </c>
      <c r="GB16" s="14">
        <f t="shared" si="33"/>
        <v>0</v>
      </c>
      <c r="GC16" s="14">
        <f t="shared" si="33"/>
        <v>0</v>
      </c>
      <c r="GD16" s="14">
        <f t="shared" si="33"/>
        <v>0</v>
      </c>
      <c r="GE16" s="14">
        <f t="shared" si="33"/>
        <v>0</v>
      </c>
      <c r="GF16" s="14">
        <f t="shared" si="33"/>
        <v>0</v>
      </c>
      <c r="GG16" s="14">
        <f t="shared" si="33"/>
        <v>0</v>
      </c>
      <c r="GH16" s="14">
        <f t="shared" si="33"/>
        <v>0</v>
      </c>
      <c r="GI16" s="14">
        <f t="shared" si="33"/>
        <v>0</v>
      </c>
      <c r="GJ16" s="14">
        <f t="shared" si="33"/>
        <v>0</v>
      </c>
      <c r="GK16" s="14">
        <f t="shared" si="33"/>
        <v>0</v>
      </c>
      <c r="GL16" s="14">
        <f t="shared" si="33"/>
        <v>0</v>
      </c>
      <c r="GM16" s="14">
        <f t="shared" si="33"/>
        <v>0</v>
      </c>
      <c r="GN16" s="14">
        <f t="shared" si="33"/>
        <v>0</v>
      </c>
      <c r="GO16" s="14">
        <f t="shared" si="33"/>
        <v>0</v>
      </c>
    </row>
    <row r="17" spans="1:197" ht="15">
      <c r="A17" s="32"/>
      <c r="B17" s="28"/>
      <c r="C17" s="24" t="s">
        <v>218</v>
      </c>
      <c r="D17" s="16">
        <f>D16-D15</f>
        <v>159.3</v>
      </c>
      <c r="E17" s="16">
        <f>E16-E15</f>
        <v>159.3</v>
      </c>
      <c r="F17" s="16">
        <f aca="true" t="shared" si="34" ref="F17:BQ17">F16-F15</f>
        <v>159.3</v>
      </c>
      <c r="G17" s="16">
        <f t="shared" si="34"/>
        <v>95.20000000000002</v>
      </c>
      <c r="H17" s="16">
        <f t="shared" si="34"/>
        <v>0</v>
      </c>
      <c r="I17" s="16">
        <f t="shared" si="34"/>
        <v>0</v>
      </c>
      <c r="J17" s="16">
        <f t="shared" si="34"/>
        <v>0</v>
      </c>
      <c r="K17" s="16">
        <f t="shared" si="34"/>
        <v>0</v>
      </c>
      <c r="L17" s="16">
        <f t="shared" si="34"/>
        <v>0</v>
      </c>
      <c r="M17" s="16">
        <f t="shared" si="34"/>
        <v>0</v>
      </c>
      <c r="N17" s="16">
        <f t="shared" si="34"/>
        <v>0</v>
      </c>
      <c r="O17" s="17">
        <f t="shared" si="34"/>
        <v>0</v>
      </c>
      <c r="P17" s="16">
        <f t="shared" si="34"/>
        <v>0</v>
      </c>
      <c r="Q17" s="16">
        <f t="shared" si="34"/>
        <v>0</v>
      </c>
      <c r="R17" s="16">
        <f t="shared" si="34"/>
        <v>0</v>
      </c>
      <c r="S17" s="16">
        <f t="shared" si="34"/>
        <v>0</v>
      </c>
      <c r="T17" s="16">
        <f t="shared" si="34"/>
        <v>0</v>
      </c>
      <c r="U17" s="16">
        <f t="shared" si="34"/>
        <v>0</v>
      </c>
      <c r="V17" s="16">
        <f t="shared" si="34"/>
        <v>0</v>
      </c>
      <c r="W17" s="16">
        <f t="shared" si="34"/>
        <v>0</v>
      </c>
      <c r="X17" s="17">
        <f t="shared" si="34"/>
        <v>0</v>
      </c>
      <c r="Y17" s="16">
        <f t="shared" si="34"/>
        <v>0</v>
      </c>
      <c r="Z17" s="16">
        <f t="shared" si="34"/>
        <v>0</v>
      </c>
      <c r="AA17" s="17">
        <f t="shared" si="34"/>
        <v>0</v>
      </c>
      <c r="AB17" s="16">
        <f t="shared" si="34"/>
        <v>0</v>
      </c>
      <c r="AC17" s="16">
        <f t="shared" si="34"/>
        <v>0</v>
      </c>
      <c r="AD17" s="17">
        <f t="shared" si="34"/>
        <v>0</v>
      </c>
      <c r="AE17" s="17">
        <f t="shared" si="34"/>
        <v>0</v>
      </c>
      <c r="AF17" s="16">
        <f t="shared" si="34"/>
        <v>0</v>
      </c>
      <c r="AG17" s="16">
        <f t="shared" si="34"/>
        <v>-11</v>
      </c>
      <c r="AH17" s="16">
        <f t="shared" si="34"/>
        <v>58</v>
      </c>
      <c r="AI17" s="16">
        <f t="shared" si="34"/>
        <v>58</v>
      </c>
      <c r="AJ17" s="16">
        <f t="shared" si="34"/>
        <v>58</v>
      </c>
      <c r="AK17" s="16">
        <f t="shared" si="34"/>
        <v>58</v>
      </c>
      <c r="AL17" s="16">
        <f t="shared" si="34"/>
        <v>58</v>
      </c>
      <c r="AM17" s="16">
        <f t="shared" si="34"/>
        <v>58</v>
      </c>
      <c r="AN17" s="16">
        <f t="shared" si="34"/>
        <v>58</v>
      </c>
      <c r="AO17" s="16">
        <f t="shared" si="34"/>
        <v>58</v>
      </c>
      <c r="AP17" s="16">
        <f t="shared" si="34"/>
        <v>-11</v>
      </c>
      <c r="AQ17" s="16">
        <f t="shared" si="34"/>
        <v>-11</v>
      </c>
      <c r="AR17" s="16">
        <f t="shared" si="34"/>
        <v>-11</v>
      </c>
      <c r="AS17" s="16">
        <f t="shared" si="34"/>
        <v>-11</v>
      </c>
      <c r="AT17" s="16">
        <f t="shared" si="34"/>
        <v>-11</v>
      </c>
      <c r="AU17" s="16">
        <f t="shared" si="34"/>
        <v>63.3</v>
      </c>
      <c r="AV17" s="16">
        <f t="shared" si="34"/>
        <v>63.3</v>
      </c>
      <c r="AW17" s="16">
        <f t="shared" si="34"/>
        <v>63.3</v>
      </c>
      <c r="AX17" s="16">
        <f t="shared" si="34"/>
        <v>63.3</v>
      </c>
      <c r="AY17" s="16">
        <f t="shared" si="34"/>
        <v>63.3</v>
      </c>
      <c r="AZ17" s="16">
        <f t="shared" si="34"/>
        <v>63.3</v>
      </c>
      <c r="BA17" s="16">
        <f t="shared" si="34"/>
        <v>63.3</v>
      </c>
      <c r="BB17" s="16">
        <f t="shared" si="34"/>
        <v>0</v>
      </c>
      <c r="BC17" s="16">
        <f t="shared" si="34"/>
        <v>66.2</v>
      </c>
      <c r="BD17" s="16">
        <f t="shared" si="34"/>
        <v>66.2</v>
      </c>
      <c r="BE17" s="16">
        <f t="shared" si="34"/>
        <v>66.2</v>
      </c>
      <c r="BF17" s="16">
        <f t="shared" si="34"/>
        <v>66.2</v>
      </c>
      <c r="BG17" s="16">
        <f t="shared" si="34"/>
        <v>66.2</v>
      </c>
      <c r="BH17" s="16">
        <f t="shared" si="34"/>
        <v>66.2</v>
      </c>
      <c r="BI17" s="16">
        <f t="shared" si="34"/>
        <v>66.2</v>
      </c>
      <c r="BJ17" s="16">
        <f t="shared" si="34"/>
        <v>66.2</v>
      </c>
      <c r="BK17" s="16">
        <f t="shared" si="34"/>
        <v>66.2</v>
      </c>
      <c r="BL17" s="16">
        <f t="shared" si="34"/>
        <v>66.2</v>
      </c>
      <c r="BM17" s="16">
        <f t="shared" si="34"/>
        <v>66.2</v>
      </c>
      <c r="BN17" s="16">
        <f t="shared" si="34"/>
        <v>66.2</v>
      </c>
      <c r="BO17" s="16">
        <f t="shared" si="34"/>
        <v>133.7</v>
      </c>
      <c r="BP17" s="16">
        <f t="shared" si="34"/>
        <v>67.49999999999999</v>
      </c>
      <c r="BQ17" s="16">
        <f t="shared" si="34"/>
        <v>67.49999999999999</v>
      </c>
      <c r="BR17" s="16">
        <f aca="true" t="shared" si="35" ref="BR17:EC17">BR16-BR15</f>
        <v>67.49999999999999</v>
      </c>
      <c r="BS17" s="16">
        <f t="shared" si="35"/>
        <v>67.49999999999999</v>
      </c>
      <c r="BT17" s="27">
        <f t="shared" si="35"/>
        <v>67.49999999999999</v>
      </c>
      <c r="BU17" s="27">
        <f t="shared" si="35"/>
        <v>67.49999999999999</v>
      </c>
      <c r="BV17" s="27">
        <f t="shared" si="35"/>
        <v>67.49999999999999</v>
      </c>
      <c r="BW17" s="16">
        <f t="shared" si="35"/>
        <v>67.49999999999999</v>
      </c>
      <c r="BX17" s="16">
        <f t="shared" si="35"/>
        <v>32.499999999999986</v>
      </c>
      <c r="BY17" s="16">
        <f t="shared" si="35"/>
        <v>0</v>
      </c>
      <c r="BZ17" s="16">
        <f t="shared" si="35"/>
        <v>67.9</v>
      </c>
      <c r="CA17" s="16">
        <f t="shared" si="35"/>
        <v>67.9</v>
      </c>
      <c r="CB17" s="16">
        <f t="shared" si="35"/>
        <v>67.9</v>
      </c>
      <c r="CC17" s="16">
        <f t="shared" si="35"/>
        <v>67.9</v>
      </c>
      <c r="CD17" s="16">
        <f t="shared" si="35"/>
        <v>67.9</v>
      </c>
      <c r="CE17" s="16">
        <f t="shared" si="35"/>
        <v>67.9</v>
      </c>
      <c r="CF17" s="16">
        <f t="shared" si="35"/>
        <v>0</v>
      </c>
      <c r="CG17" s="16">
        <f t="shared" si="35"/>
        <v>0</v>
      </c>
      <c r="CH17" s="16">
        <f t="shared" si="35"/>
        <v>0</v>
      </c>
      <c r="CI17" s="16">
        <f t="shared" si="35"/>
        <v>0</v>
      </c>
      <c r="CJ17" s="16">
        <f t="shared" si="35"/>
        <v>0</v>
      </c>
      <c r="CK17" s="16">
        <f t="shared" si="35"/>
        <v>0</v>
      </c>
      <c r="CL17" s="16">
        <f t="shared" si="35"/>
        <v>53.9</v>
      </c>
      <c r="CM17" s="16">
        <f t="shared" si="35"/>
        <v>53.9</v>
      </c>
      <c r="CN17" s="16">
        <f t="shared" si="35"/>
        <v>53.9</v>
      </c>
      <c r="CO17" s="16">
        <f t="shared" si="35"/>
        <v>53.9</v>
      </c>
      <c r="CP17" s="16">
        <f t="shared" si="35"/>
        <v>0</v>
      </c>
      <c r="CQ17" s="16">
        <f t="shared" si="35"/>
        <v>0</v>
      </c>
      <c r="CR17" s="16">
        <f t="shared" si="35"/>
        <v>0</v>
      </c>
      <c r="CS17" s="16">
        <f t="shared" si="35"/>
        <v>0</v>
      </c>
      <c r="CT17" s="16">
        <f t="shared" si="35"/>
        <v>0</v>
      </c>
      <c r="CU17" s="16">
        <f t="shared" si="35"/>
        <v>0</v>
      </c>
      <c r="CV17" s="16">
        <f t="shared" si="35"/>
        <v>65.7</v>
      </c>
      <c r="CW17" s="16">
        <f t="shared" si="35"/>
        <v>65.7</v>
      </c>
      <c r="CX17" s="16">
        <f t="shared" si="35"/>
        <v>65.7</v>
      </c>
      <c r="CY17" s="16">
        <f t="shared" si="35"/>
        <v>65.7</v>
      </c>
      <c r="CZ17" s="16">
        <f t="shared" si="35"/>
        <v>65.7</v>
      </c>
      <c r="DA17" s="16">
        <f t="shared" si="35"/>
        <v>65.7</v>
      </c>
      <c r="DB17" s="16">
        <f t="shared" si="35"/>
        <v>35.7</v>
      </c>
      <c r="DC17" s="16">
        <f t="shared" si="35"/>
        <v>35.7</v>
      </c>
      <c r="DD17" s="16">
        <f t="shared" si="35"/>
        <v>0</v>
      </c>
      <c r="DE17" s="16">
        <f t="shared" si="35"/>
        <v>0</v>
      </c>
      <c r="DF17" s="16">
        <f t="shared" si="35"/>
        <v>0</v>
      </c>
      <c r="DG17" s="16">
        <f t="shared" si="35"/>
        <v>0</v>
      </c>
      <c r="DH17" s="16">
        <f t="shared" si="35"/>
        <v>67.8</v>
      </c>
      <c r="DI17" s="16">
        <f t="shared" si="35"/>
        <v>67.8</v>
      </c>
      <c r="DJ17" s="16">
        <f t="shared" si="35"/>
        <v>67.8</v>
      </c>
      <c r="DK17" s="16">
        <f t="shared" si="35"/>
        <v>67.8</v>
      </c>
      <c r="DL17" s="16">
        <f t="shared" si="35"/>
        <v>67.8</v>
      </c>
      <c r="DM17" s="16">
        <f t="shared" si="35"/>
        <v>67.8</v>
      </c>
      <c r="DN17" s="16">
        <f t="shared" si="35"/>
        <v>132.6</v>
      </c>
      <c r="DO17" s="16">
        <f t="shared" si="35"/>
        <v>132.6</v>
      </c>
      <c r="DP17" s="17">
        <f t="shared" si="35"/>
        <v>132.6</v>
      </c>
      <c r="DQ17" s="17">
        <f t="shared" si="35"/>
        <v>64.8</v>
      </c>
      <c r="DR17" s="17">
        <f t="shared" si="35"/>
        <v>64.8</v>
      </c>
      <c r="DS17" s="17">
        <f t="shared" si="35"/>
        <v>64.8</v>
      </c>
      <c r="DT17" s="17">
        <f t="shared" si="35"/>
        <v>64.8</v>
      </c>
      <c r="DU17" s="16">
        <f t="shared" si="35"/>
        <v>64.8</v>
      </c>
      <c r="DV17" s="16">
        <f t="shared" si="35"/>
        <v>64.8</v>
      </c>
      <c r="DW17" s="16">
        <f t="shared" si="35"/>
        <v>64.8</v>
      </c>
      <c r="DX17" s="16">
        <f t="shared" si="35"/>
        <v>30</v>
      </c>
      <c r="DY17" s="16">
        <f t="shared" si="35"/>
        <v>0</v>
      </c>
      <c r="DZ17" s="16">
        <f t="shared" si="35"/>
        <v>0</v>
      </c>
      <c r="EA17" s="16">
        <f t="shared" si="35"/>
        <v>0</v>
      </c>
      <c r="EB17" s="16">
        <f t="shared" si="35"/>
        <v>68.7</v>
      </c>
      <c r="EC17" s="16">
        <f t="shared" si="35"/>
        <v>62.7</v>
      </c>
      <c r="ED17" s="16">
        <f aca="true" t="shared" si="36" ref="ED17:GO17">ED16-ED15</f>
        <v>37.7</v>
      </c>
      <c r="EE17" s="16">
        <f t="shared" si="36"/>
        <v>12.700000000000003</v>
      </c>
      <c r="EF17" s="16">
        <f t="shared" si="36"/>
        <v>0</v>
      </c>
      <c r="EG17" s="16">
        <f t="shared" si="36"/>
        <v>0</v>
      </c>
      <c r="EH17" s="16">
        <f t="shared" si="36"/>
        <v>0</v>
      </c>
      <c r="EI17" s="16">
        <f t="shared" si="36"/>
        <v>0</v>
      </c>
      <c r="EJ17" s="16">
        <f t="shared" si="36"/>
        <v>0</v>
      </c>
      <c r="EK17" s="16">
        <f t="shared" si="36"/>
        <v>0</v>
      </c>
      <c r="EL17" s="16">
        <f t="shared" si="36"/>
        <v>0</v>
      </c>
      <c r="EM17" s="16">
        <f t="shared" si="36"/>
        <v>0</v>
      </c>
      <c r="EN17" s="16">
        <f t="shared" si="36"/>
        <v>68.8</v>
      </c>
      <c r="EO17" s="16">
        <f t="shared" si="36"/>
        <v>68.8</v>
      </c>
      <c r="EP17" s="16">
        <f t="shared" si="36"/>
        <v>68.8</v>
      </c>
      <c r="EQ17" s="16">
        <f t="shared" si="36"/>
        <v>68.8</v>
      </c>
      <c r="ER17" s="16">
        <f t="shared" si="36"/>
        <v>0</v>
      </c>
      <c r="ES17" s="16">
        <f t="shared" si="36"/>
        <v>0</v>
      </c>
      <c r="ET17" s="16">
        <f t="shared" si="36"/>
        <v>0</v>
      </c>
      <c r="EU17" s="16">
        <f t="shared" si="36"/>
        <v>0</v>
      </c>
      <c r="EV17" s="16">
        <f t="shared" si="36"/>
        <v>0</v>
      </c>
      <c r="EW17" s="16">
        <f t="shared" si="36"/>
        <v>0</v>
      </c>
      <c r="EX17" s="16">
        <f t="shared" si="36"/>
        <v>0</v>
      </c>
      <c r="EY17" s="16">
        <f t="shared" si="36"/>
        <v>0</v>
      </c>
      <c r="EZ17" s="16">
        <f t="shared" si="36"/>
        <v>65</v>
      </c>
      <c r="FA17" s="16">
        <f t="shared" si="36"/>
        <v>65</v>
      </c>
      <c r="FB17" s="16">
        <f t="shared" si="36"/>
        <v>65</v>
      </c>
      <c r="FC17" s="16">
        <f t="shared" si="36"/>
        <v>65</v>
      </c>
      <c r="FD17" s="16">
        <f t="shared" si="36"/>
        <v>65</v>
      </c>
      <c r="FE17" s="16">
        <f t="shared" si="36"/>
        <v>65</v>
      </c>
      <c r="FF17" s="16">
        <f t="shared" si="36"/>
        <v>65</v>
      </c>
      <c r="FG17" s="16">
        <f t="shared" si="36"/>
        <v>65</v>
      </c>
      <c r="FH17" s="16">
        <f t="shared" si="36"/>
        <v>65</v>
      </c>
      <c r="FI17" s="16">
        <f t="shared" si="36"/>
        <v>35</v>
      </c>
      <c r="FJ17" s="16">
        <f t="shared" si="36"/>
        <v>35</v>
      </c>
      <c r="FK17" s="16">
        <f t="shared" si="36"/>
        <v>35</v>
      </c>
      <c r="FL17" s="16">
        <f t="shared" si="36"/>
        <v>98.5</v>
      </c>
      <c r="FM17" s="16">
        <f t="shared" si="36"/>
        <v>98.5</v>
      </c>
      <c r="FN17" s="16">
        <f t="shared" si="36"/>
        <v>98.5</v>
      </c>
      <c r="FO17" s="16">
        <f t="shared" si="36"/>
        <v>98.5</v>
      </c>
      <c r="FP17" s="16">
        <f t="shared" si="36"/>
        <v>98.5</v>
      </c>
      <c r="FQ17" s="16">
        <f t="shared" si="36"/>
        <v>98.5</v>
      </c>
      <c r="FR17" s="16">
        <f t="shared" si="36"/>
        <v>35</v>
      </c>
      <c r="FS17" s="16">
        <f t="shared" si="36"/>
        <v>100</v>
      </c>
      <c r="FT17" s="16">
        <f t="shared" si="36"/>
        <v>65</v>
      </c>
      <c r="FU17" s="16">
        <f t="shared" si="36"/>
        <v>65</v>
      </c>
      <c r="FV17" s="16">
        <f t="shared" si="36"/>
        <v>65</v>
      </c>
      <c r="FW17" s="16">
        <f t="shared" si="36"/>
        <v>65</v>
      </c>
      <c r="FX17" s="16">
        <f t="shared" si="36"/>
        <v>65</v>
      </c>
      <c r="FY17" s="16">
        <f t="shared" si="36"/>
        <v>35</v>
      </c>
      <c r="FZ17" s="16">
        <f t="shared" si="36"/>
        <v>0</v>
      </c>
      <c r="GA17" s="16">
        <f t="shared" si="36"/>
        <v>0</v>
      </c>
      <c r="GB17" s="16">
        <f t="shared" si="36"/>
        <v>0</v>
      </c>
      <c r="GC17" s="16">
        <f t="shared" si="36"/>
        <v>0</v>
      </c>
      <c r="GD17" s="16">
        <f t="shared" si="36"/>
        <v>0</v>
      </c>
      <c r="GE17" s="16">
        <f t="shared" si="36"/>
        <v>0</v>
      </c>
      <c r="GF17" s="16">
        <f t="shared" si="36"/>
        <v>0</v>
      </c>
      <c r="GG17" s="16">
        <f t="shared" si="36"/>
        <v>0</v>
      </c>
      <c r="GH17" s="16">
        <f t="shared" si="36"/>
        <v>0</v>
      </c>
      <c r="GI17" s="16">
        <f t="shared" si="36"/>
        <v>0</v>
      </c>
      <c r="GJ17" s="16">
        <f t="shared" si="36"/>
        <v>0</v>
      </c>
      <c r="GK17" s="16">
        <f t="shared" si="36"/>
        <v>0</v>
      </c>
      <c r="GL17" s="16">
        <f t="shared" si="36"/>
        <v>0</v>
      </c>
      <c r="GM17" s="16">
        <f t="shared" si="36"/>
        <v>0</v>
      </c>
      <c r="GN17" s="16">
        <f t="shared" si="36"/>
        <v>0</v>
      </c>
      <c r="GO17" s="16">
        <f t="shared" si="36"/>
        <v>0</v>
      </c>
    </row>
    <row r="18" spans="1:256" s="9" customFormat="1" ht="15">
      <c r="A18" s="2" t="s">
        <v>223</v>
      </c>
      <c r="B18" s="4">
        <v>25</v>
      </c>
      <c r="C18" s="12" t="s">
        <v>216</v>
      </c>
      <c r="O18" s="19">
        <v>242.9</v>
      </c>
      <c r="R18" s="19">
        <v>40.3</v>
      </c>
      <c r="S18" s="19">
        <v>40</v>
      </c>
      <c r="X18" s="19">
        <v>86.7</v>
      </c>
      <c r="AA18" s="29"/>
      <c r="AD18" s="29"/>
      <c r="AE18" s="29"/>
      <c r="AF18" s="19">
        <v>45.2</v>
      </c>
      <c r="AR18" s="19">
        <v>30</v>
      </c>
      <c r="AS18" s="19">
        <v>37.8</v>
      </c>
      <c r="AY18" s="30">
        <v>20</v>
      </c>
      <c r="BB18" s="30">
        <v>45</v>
      </c>
      <c r="BC18" s="30">
        <v>40</v>
      </c>
      <c r="BD18" s="30">
        <v>40</v>
      </c>
      <c r="BE18" s="30">
        <v>40</v>
      </c>
      <c r="BF18" s="19">
        <v>25.3</v>
      </c>
      <c r="BP18" s="19">
        <v>101.5</v>
      </c>
      <c r="BT18" s="31"/>
      <c r="BU18" s="31"/>
      <c r="BV18" s="31"/>
      <c r="BW18" s="19">
        <v>38.1</v>
      </c>
      <c r="BZ18" s="19">
        <v>60.9</v>
      </c>
      <c r="CF18" s="30">
        <v>47.1</v>
      </c>
      <c r="CP18" s="19">
        <v>107.5</v>
      </c>
      <c r="CU18" s="30">
        <v>21.7</v>
      </c>
      <c r="CZ18" s="19">
        <v>52.5</v>
      </c>
      <c r="DA18" s="30">
        <v>25</v>
      </c>
      <c r="DD18" s="30">
        <v>20</v>
      </c>
      <c r="DE18" s="30">
        <v>20</v>
      </c>
      <c r="DF18" s="30">
        <v>20</v>
      </c>
      <c r="DP18" s="19">
        <v>192.6</v>
      </c>
      <c r="DQ18" s="29"/>
      <c r="DR18" s="29"/>
      <c r="DS18" s="29"/>
      <c r="DT18" s="29"/>
      <c r="EB18" s="30">
        <v>20</v>
      </c>
      <c r="EP18" s="19">
        <v>43.8</v>
      </c>
      <c r="ET18" s="30">
        <v>24.3</v>
      </c>
      <c r="EW18" s="33">
        <v>50</v>
      </c>
      <c r="EX18" s="30">
        <v>50</v>
      </c>
      <c r="FA18" s="30">
        <v>40</v>
      </c>
      <c r="FH18" s="99">
        <v>91.8</v>
      </c>
      <c r="FT18" s="9">
        <v>30</v>
      </c>
      <c r="FU18" s="9">
        <v>31.1</v>
      </c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97" s="42" customFormat="1" ht="15">
      <c r="A19" s="32"/>
      <c r="B19" s="35"/>
      <c r="C19" s="24" t="s">
        <v>217</v>
      </c>
      <c r="D19" s="25">
        <v>243</v>
      </c>
      <c r="E19" s="25">
        <f>D20</f>
        <v>243</v>
      </c>
      <c r="F19" s="25">
        <f aca="true" t="shared" si="37" ref="F19:BQ19">E20</f>
        <v>243</v>
      </c>
      <c r="G19" s="25">
        <f t="shared" si="37"/>
        <v>243</v>
      </c>
      <c r="H19" s="25">
        <f t="shared" si="37"/>
        <v>243</v>
      </c>
      <c r="I19" s="25">
        <f t="shared" si="37"/>
        <v>243</v>
      </c>
      <c r="J19" s="25">
        <f t="shared" si="37"/>
        <v>243</v>
      </c>
      <c r="K19" s="25">
        <f t="shared" si="37"/>
        <v>243</v>
      </c>
      <c r="L19" s="25">
        <f t="shared" si="37"/>
        <v>243</v>
      </c>
      <c r="M19" s="25">
        <f>L20+91.4+40.3</f>
        <v>374.7</v>
      </c>
      <c r="N19" s="25">
        <f>M20+35.2</f>
        <v>409.9</v>
      </c>
      <c r="O19" s="37">
        <f t="shared" si="37"/>
        <v>409.9</v>
      </c>
      <c r="P19" s="25">
        <f t="shared" si="37"/>
        <v>166.99999999999997</v>
      </c>
      <c r="Q19" s="25">
        <f t="shared" si="37"/>
        <v>166.99999999999997</v>
      </c>
      <c r="R19" s="25">
        <f t="shared" si="37"/>
        <v>166.99999999999997</v>
      </c>
      <c r="S19" s="25">
        <f t="shared" si="37"/>
        <v>126.69999999999997</v>
      </c>
      <c r="T19" s="25">
        <f t="shared" si="37"/>
        <v>86.69999999999997</v>
      </c>
      <c r="U19" s="25">
        <f t="shared" si="37"/>
        <v>86.69999999999997</v>
      </c>
      <c r="V19" s="25">
        <f t="shared" si="37"/>
        <v>86.69999999999997</v>
      </c>
      <c r="W19" s="25">
        <f t="shared" si="37"/>
        <v>86.69999999999997</v>
      </c>
      <c r="X19" s="37">
        <f t="shared" si="37"/>
        <v>86.69999999999997</v>
      </c>
      <c r="Y19" s="25">
        <f>X20+45.2</f>
        <v>45.2</v>
      </c>
      <c r="Z19" s="25">
        <f t="shared" si="37"/>
        <v>45.2</v>
      </c>
      <c r="AA19" s="37">
        <f t="shared" si="37"/>
        <v>45.2</v>
      </c>
      <c r="AB19" s="25">
        <f t="shared" si="37"/>
        <v>45.2</v>
      </c>
      <c r="AC19" s="25">
        <f t="shared" si="37"/>
        <v>45.2</v>
      </c>
      <c r="AD19" s="37">
        <f t="shared" si="37"/>
        <v>45.2</v>
      </c>
      <c r="AE19" s="37">
        <f t="shared" si="37"/>
        <v>45.2</v>
      </c>
      <c r="AF19" s="25">
        <f t="shared" si="37"/>
        <v>45.2</v>
      </c>
      <c r="AG19" s="25">
        <f t="shared" si="37"/>
        <v>0</v>
      </c>
      <c r="AH19" s="25">
        <f t="shared" si="37"/>
        <v>0</v>
      </c>
      <c r="AI19" s="25">
        <f t="shared" si="37"/>
        <v>0</v>
      </c>
      <c r="AJ19" s="25">
        <f t="shared" si="37"/>
        <v>0</v>
      </c>
      <c r="AK19" s="25">
        <f t="shared" si="37"/>
        <v>0</v>
      </c>
      <c r="AL19" s="25">
        <f t="shared" si="37"/>
        <v>0</v>
      </c>
      <c r="AM19" s="25">
        <f t="shared" si="37"/>
        <v>0</v>
      </c>
      <c r="AN19" s="25">
        <f>AM20+67.8</f>
        <v>67.8</v>
      </c>
      <c r="AO19" s="25">
        <f t="shared" si="37"/>
        <v>67.8</v>
      </c>
      <c r="AP19" s="25">
        <f t="shared" si="37"/>
        <v>67.8</v>
      </c>
      <c r="AQ19" s="25">
        <f t="shared" si="37"/>
        <v>67.8</v>
      </c>
      <c r="AR19" s="25">
        <f t="shared" si="37"/>
        <v>67.8</v>
      </c>
      <c r="AS19" s="25">
        <f t="shared" si="37"/>
        <v>37.8</v>
      </c>
      <c r="AT19" s="25">
        <f t="shared" si="37"/>
        <v>0</v>
      </c>
      <c r="AU19" s="25">
        <f t="shared" si="37"/>
        <v>0</v>
      </c>
      <c r="AV19" s="25">
        <f>AU20+37.7</f>
        <v>37.7</v>
      </c>
      <c r="AW19" s="25">
        <f>AV20+136.6</f>
        <v>174.3</v>
      </c>
      <c r="AX19" s="25">
        <f t="shared" si="37"/>
        <v>174.3</v>
      </c>
      <c r="AY19" s="25">
        <f t="shared" si="37"/>
        <v>174.3</v>
      </c>
      <c r="AZ19" s="25">
        <f t="shared" si="37"/>
        <v>154.3</v>
      </c>
      <c r="BA19" s="25">
        <f t="shared" si="37"/>
        <v>154.3</v>
      </c>
      <c r="BB19" s="25">
        <f>BA20+36</f>
        <v>190.3</v>
      </c>
      <c r="BC19" s="25">
        <f t="shared" si="37"/>
        <v>145.3</v>
      </c>
      <c r="BD19" s="25">
        <f t="shared" si="37"/>
        <v>105.30000000000001</v>
      </c>
      <c r="BE19" s="25">
        <f t="shared" si="37"/>
        <v>65.30000000000001</v>
      </c>
      <c r="BF19" s="25">
        <f t="shared" si="37"/>
        <v>25.30000000000001</v>
      </c>
      <c r="BG19" s="25">
        <f t="shared" si="37"/>
        <v>0</v>
      </c>
      <c r="BH19" s="25">
        <f>BG20+19.8</f>
        <v>19.8</v>
      </c>
      <c r="BI19" s="25">
        <f>BH20+81.7</f>
        <v>101.5</v>
      </c>
      <c r="BJ19" s="25">
        <f t="shared" si="37"/>
        <v>101.5</v>
      </c>
      <c r="BK19" s="25">
        <f>BJ20+38.1</f>
        <v>139.6</v>
      </c>
      <c r="BL19" s="25">
        <f t="shared" si="37"/>
        <v>139.6</v>
      </c>
      <c r="BM19" s="25">
        <f t="shared" si="37"/>
        <v>139.6</v>
      </c>
      <c r="BN19" s="25">
        <f t="shared" si="37"/>
        <v>139.6</v>
      </c>
      <c r="BO19" s="25">
        <f t="shared" si="37"/>
        <v>139.6</v>
      </c>
      <c r="BP19" s="25">
        <f t="shared" si="37"/>
        <v>139.6</v>
      </c>
      <c r="BQ19" s="25">
        <f t="shared" si="37"/>
        <v>38.099999999999994</v>
      </c>
      <c r="BR19" s="25">
        <f aca="true" t="shared" si="38" ref="BR19:EC19">BQ20</f>
        <v>38.099999999999994</v>
      </c>
      <c r="BS19" s="25">
        <f>BR20+39.4</f>
        <v>77.5</v>
      </c>
      <c r="BT19" s="40">
        <f>BS20+21.5</f>
        <v>99</v>
      </c>
      <c r="BU19" s="40">
        <f t="shared" si="38"/>
        <v>99</v>
      </c>
      <c r="BV19" s="40">
        <f t="shared" si="38"/>
        <v>99</v>
      </c>
      <c r="BW19" s="25">
        <f t="shared" si="38"/>
        <v>99</v>
      </c>
      <c r="BX19" s="25">
        <f t="shared" si="38"/>
        <v>60.9</v>
      </c>
      <c r="BY19" s="25">
        <f t="shared" si="38"/>
        <v>60.9</v>
      </c>
      <c r="BZ19" s="25">
        <f>BY20+47.1</f>
        <v>108</v>
      </c>
      <c r="CA19" s="25">
        <f t="shared" si="38"/>
        <v>47.1</v>
      </c>
      <c r="CB19" s="25">
        <f t="shared" si="38"/>
        <v>47.1</v>
      </c>
      <c r="CC19" s="25">
        <f t="shared" si="38"/>
        <v>47.1</v>
      </c>
      <c r="CD19" s="25">
        <f t="shared" si="38"/>
        <v>47.1</v>
      </c>
      <c r="CE19" s="25">
        <f t="shared" si="38"/>
        <v>47.1</v>
      </c>
      <c r="CF19" s="25">
        <f>CE20+82.9</f>
        <v>130</v>
      </c>
      <c r="CG19" s="25">
        <f>CF20+24.6</f>
        <v>107.5</v>
      </c>
      <c r="CH19" s="25">
        <f t="shared" si="38"/>
        <v>107.5</v>
      </c>
      <c r="CI19" s="25">
        <f t="shared" si="38"/>
        <v>107.5</v>
      </c>
      <c r="CJ19" s="25">
        <f t="shared" si="38"/>
        <v>107.5</v>
      </c>
      <c r="CK19" s="25">
        <f t="shared" si="38"/>
        <v>107.5</v>
      </c>
      <c r="CL19" s="25">
        <f t="shared" si="38"/>
        <v>107.5</v>
      </c>
      <c r="CM19" s="25">
        <f t="shared" si="38"/>
        <v>107.5</v>
      </c>
      <c r="CN19" s="25">
        <f t="shared" si="38"/>
        <v>107.5</v>
      </c>
      <c r="CO19" s="25">
        <f t="shared" si="38"/>
        <v>107.5</v>
      </c>
      <c r="CP19" s="25">
        <f>CO20</f>
        <v>107.5</v>
      </c>
      <c r="CQ19" s="25">
        <f t="shared" si="38"/>
        <v>0</v>
      </c>
      <c r="CR19" s="25">
        <f>CQ20+15.9+5.8</f>
        <v>21.7</v>
      </c>
      <c r="CS19" s="25">
        <f t="shared" si="38"/>
        <v>21.7</v>
      </c>
      <c r="CT19" s="25">
        <f t="shared" si="38"/>
        <v>21.7</v>
      </c>
      <c r="CU19" s="25">
        <f t="shared" si="38"/>
        <v>21.7</v>
      </c>
      <c r="CV19" s="25">
        <f>CU20+32.8</f>
        <v>32.8</v>
      </c>
      <c r="CW19" s="25">
        <f t="shared" si="38"/>
        <v>32.8</v>
      </c>
      <c r="CX19" s="25">
        <f>CW20+19.7+118</f>
        <v>170.5</v>
      </c>
      <c r="CY19" s="25">
        <f t="shared" si="38"/>
        <v>170.5</v>
      </c>
      <c r="CZ19" s="25">
        <f t="shared" si="38"/>
        <v>170.5</v>
      </c>
      <c r="DA19" s="25">
        <f t="shared" si="38"/>
        <v>118</v>
      </c>
      <c r="DB19" s="25">
        <f t="shared" si="38"/>
        <v>93</v>
      </c>
      <c r="DC19" s="25">
        <f t="shared" si="38"/>
        <v>93</v>
      </c>
      <c r="DD19" s="25">
        <f t="shared" si="38"/>
        <v>93</v>
      </c>
      <c r="DE19" s="25">
        <f t="shared" si="38"/>
        <v>73</v>
      </c>
      <c r="DF19" s="25">
        <f t="shared" si="38"/>
        <v>53</v>
      </c>
      <c r="DG19" s="25">
        <f t="shared" si="38"/>
        <v>33</v>
      </c>
      <c r="DH19" s="25">
        <f t="shared" si="38"/>
        <v>33</v>
      </c>
      <c r="DI19" s="25">
        <f t="shared" si="38"/>
        <v>33</v>
      </c>
      <c r="DJ19" s="25">
        <f t="shared" si="38"/>
        <v>33</v>
      </c>
      <c r="DK19" s="25">
        <f t="shared" si="38"/>
        <v>33</v>
      </c>
      <c r="DL19" s="25">
        <f t="shared" si="38"/>
        <v>33</v>
      </c>
      <c r="DM19" s="25">
        <f t="shared" si="38"/>
        <v>33</v>
      </c>
      <c r="DN19" s="25">
        <f>DM20+83+76.6</f>
        <v>192.6</v>
      </c>
      <c r="DO19" s="25">
        <f t="shared" si="38"/>
        <v>192.6</v>
      </c>
      <c r="DP19" s="37">
        <f t="shared" si="38"/>
        <v>192.6</v>
      </c>
      <c r="DQ19" s="37">
        <f t="shared" si="38"/>
        <v>0</v>
      </c>
      <c r="DR19" s="37">
        <f t="shared" si="38"/>
        <v>0</v>
      </c>
      <c r="DS19" s="37">
        <f t="shared" si="38"/>
        <v>0</v>
      </c>
      <c r="DT19" s="37">
        <f t="shared" si="38"/>
        <v>0</v>
      </c>
      <c r="DU19" s="25">
        <f t="shared" si="38"/>
        <v>0</v>
      </c>
      <c r="DV19" s="25">
        <f t="shared" si="38"/>
        <v>0</v>
      </c>
      <c r="DW19" s="25">
        <f>DV20+34</f>
        <v>34</v>
      </c>
      <c r="DX19" s="25">
        <f t="shared" si="38"/>
        <v>34</v>
      </c>
      <c r="DY19" s="25">
        <f t="shared" si="38"/>
        <v>34</v>
      </c>
      <c r="DZ19" s="25">
        <f t="shared" si="38"/>
        <v>34</v>
      </c>
      <c r="EA19" s="25">
        <f t="shared" si="38"/>
        <v>34</v>
      </c>
      <c r="EB19" s="25">
        <f t="shared" si="38"/>
        <v>34</v>
      </c>
      <c r="EC19" s="25">
        <f t="shared" si="38"/>
        <v>14</v>
      </c>
      <c r="ED19" s="25">
        <f aca="true" t="shared" si="39" ref="ED19:GO19">EC20</f>
        <v>14</v>
      </c>
      <c r="EE19" s="25">
        <f>ED20+29.8</f>
        <v>43.8</v>
      </c>
      <c r="EF19" s="25">
        <f t="shared" si="39"/>
        <v>43.8</v>
      </c>
      <c r="EG19" s="25">
        <f t="shared" si="39"/>
        <v>43.8</v>
      </c>
      <c r="EH19" s="25">
        <f t="shared" si="39"/>
        <v>43.8</v>
      </c>
      <c r="EI19" s="25">
        <f t="shared" si="39"/>
        <v>43.8</v>
      </c>
      <c r="EJ19" s="25">
        <f t="shared" si="39"/>
        <v>43.8</v>
      </c>
      <c r="EK19" s="25">
        <f t="shared" si="39"/>
        <v>43.8</v>
      </c>
      <c r="EL19" s="25">
        <f t="shared" si="39"/>
        <v>43.8</v>
      </c>
      <c r="EM19" s="25">
        <f t="shared" si="39"/>
        <v>43.8</v>
      </c>
      <c r="EN19" s="25">
        <f t="shared" si="39"/>
        <v>43.8</v>
      </c>
      <c r="EO19" s="25">
        <f t="shared" si="39"/>
        <v>43.8</v>
      </c>
      <c r="EP19" s="25">
        <f>EO20</f>
        <v>43.8</v>
      </c>
      <c r="EQ19" s="25">
        <f>EP20+22.1+42.2+74.3+52.9+41.8</f>
        <v>233.3</v>
      </c>
      <c r="ER19" s="25">
        <f>EQ20+20.6</f>
        <v>253.9</v>
      </c>
      <c r="ES19" s="25">
        <f>ER20</f>
        <v>253.9</v>
      </c>
      <c r="ET19" s="25">
        <f>ES20</f>
        <v>253.9</v>
      </c>
      <c r="EU19" s="25">
        <f t="shared" si="39"/>
        <v>229.6</v>
      </c>
      <c r="EV19" s="25">
        <f>EU20+21.1+5.7</f>
        <v>256.4</v>
      </c>
      <c r="EW19" s="25">
        <f t="shared" si="39"/>
        <v>256.4</v>
      </c>
      <c r="EX19" s="25">
        <f t="shared" si="39"/>
        <v>206.39999999999998</v>
      </c>
      <c r="EY19" s="25">
        <f t="shared" si="39"/>
        <v>156.39999999999998</v>
      </c>
      <c r="EZ19" s="25">
        <f>EY20+55.7</f>
        <v>212.09999999999997</v>
      </c>
      <c r="FA19" s="25">
        <f t="shared" si="39"/>
        <v>212.09999999999997</v>
      </c>
      <c r="FB19" s="25">
        <f t="shared" si="39"/>
        <v>172.09999999999997</v>
      </c>
      <c r="FC19" s="25">
        <f t="shared" si="39"/>
        <v>172.09999999999997</v>
      </c>
      <c r="FD19" s="25">
        <f>FC20+3.8</f>
        <v>175.89999999999998</v>
      </c>
      <c r="FE19" s="25">
        <f t="shared" si="39"/>
        <v>175.89999999999998</v>
      </c>
      <c r="FF19" s="25">
        <f t="shared" si="39"/>
        <v>175.89999999999998</v>
      </c>
      <c r="FG19" s="25">
        <f t="shared" si="39"/>
        <v>175.89999999999998</v>
      </c>
      <c r="FH19" s="25">
        <f>FG20-35.8-42.7</f>
        <v>97.39999999999996</v>
      </c>
      <c r="FI19" s="25">
        <f t="shared" si="39"/>
        <v>5.599999999999966</v>
      </c>
      <c r="FJ19" s="25">
        <f t="shared" si="39"/>
        <v>5.599999999999966</v>
      </c>
      <c r="FK19" s="25">
        <f t="shared" si="39"/>
        <v>5.599999999999966</v>
      </c>
      <c r="FL19" s="25">
        <f t="shared" si="39"/>
        <v>5.599999999999966</v>
      </c>
      <c r="FM19" s="25">
        <f t="shared" si="39"/>
        <v>5.599999999999966</v>
      </c>
      <c r="FN19" s="25">
        <f t="shared" si="39"/>
        <v>5.599999999999966</v>
      </c>
      <c r="FO19" s="25">
        <f>FN20+13.3+42.2</f>
        <v>61.099999999999966</v>
      </c>
      <c r="FP19" s="25">
        <f t="shared" si="39"/>
        <v>61.099999999999966</v>
      </c>
      <c r="FQ19" s="25">
        <f t="shared" si="39"/>
        <v>61.099999999999966</v>
      </c>
      <c r="FR19" s="25">
        <f t="shared" si="39"/>
        <v>61.099999999999966</v>
      </c>
      <c r="FS19" s="25">
        <f t="shared" si="39"/>
        <v>61.099999999999966</v>
      </c>
      <c r="FT19" s="25">
        <f t="shared" si="39"/>
        <v>61.099999999999966</v>
      </c>
      <c r="FU19" s="25">
        <f t="shared" si="39"/>
        <v>31.099999999999966</v>
      </c>
      <c r="FV19" s="25">
        <f t="shared" si="39"/>
        <v>-3.552713678800501E-14</v>
      </c>
      <c r="FW19" s="25">
        <f t="shared" si="39"/>
        <v>-3.552713678800501E-14</v>
      </c>
      <c r="FX19" s="25">
        <f t="shared" si="39"/>
        <v>-3.552713678800501E-14</v>
      </c>
      <c r="FY19" s="25">
        <f t="shared" si="39"/>
        <v>-3.552713678800501E-14</v>
      </c>
      <c r="FZ19" s="25">
        <f t="shared" si="39"/>
        <v>-3.552713678800501E-14</v>
      </c>
      <c r="GA19" s="25">
        <f t="shared" si="39"/>
        <v>-3.552713678800501E-14</v>
      </c>
      <c r="GB19" s="25">
        <f t="shared" si="39"/>
        <v>-3.552713678800501E-14</v>
      </c>
      <c r="GC19" s="25">
        <f t="shared" si="39"/>
        <v>-3.552713678800501E-14</v>
      </c>
      <c r="GD19" s="25">
        <f t="shared" si="39"/>
        <v>-3.552713678800501E-14</v>
      </c>
      <c r="GE19" s="25">
        <f t="shared" si="39"/>
        <v>-3.552713678800501E-14</v>
      </c>
      <c r="GF19" s="25">
        <f t="shared" si="39"/>
        <v>-3.552713678800501E-14</v>
      </c>
      <c r="GG19" s="25">
        <f t="shared" si="39"/>
        <v>-3.552713678800501E-14</v>
      </c>
      <c r="GH19" s="25">
        <f t="shared" si="39"/>
        <v>-3.552713678800501E-14</v>
      </c>
      <c r="GI19" s="25">
        <f t="shared" si="39"/>
        <v>-3.552713678800501E-14</v>
      </c>
      <c r="GJ19" s="25">
        <f t="shared" si="39"/>
        <v>-3.552713678800501E-14</v>
      </c>
      <c r="GK19" s="25">
        <f t="shared" si="39"/>
        <v>-3.552713678800501E-14</v>
      </c>
      <c r="GL19" s="25">
        <f t="shared" si="39"/>
        <v>-3.552713678800501E-14</v>
      </c>
      <c r="GM19" s="25">
        <f t="shared" si="39"/>
        <v>-3.552713678800501E-14</v>
      </c>
      <c r="GN19" s="25">
        <f t="shared" si="39"/>
        <v>-3.552713678800501E-14</v>
      </c>
      <c r="GO19" s="25">
        <f t="shared" si="39"/>
        <v>-3.552713678800501E-14</v>
      </c>
    </row>
    <row r="20" spans="1:197" s="42" customFormat="1" ht="15">
      <c r="A20" s="32"/>
      <c r="B20" s="35"/>
      <c r="C20" s="24" t="s">
        <v>218</v>
      </c>
      <c r="D20" s="43">
        <f>D19-D18</f>
        <v>243</v>
      </c>
      <c r="E20" s="43">
        <f>E19-E18</f>
        <v>243</v>
      </c>
      <c r="F20" s="43">
        <f aca="true" t="shared" si="40" ref="F20:BQ20">F19-F18</f>
        <v>243</v>
      </c>
      <c r="G20" s="43">
        <f t="shared" si="40"/>
        <v>243</v>
      </c>
      <c r="H20" s="43">
        <f t="shared" si="40"/>
        <v>243</v>
      </c>
      <c r="I20" s="43">
        <f t="shared" si="40"/>
        <v>243</v>
      </c>
      <c r="J20" s="43">
        <f t="shared" si="40"/>
        <v>243</v>
      </c>
      <c r="K20" s="43">
        <f t="shared" si="40"/>
        <v>243</v>
      </c>
      <c r="L20" s="43">
        <f t="shared" si="40"/>
        <v>243</v>
      </c>
      <c r="M20" s="43">
        <f t="shared" si="40"/>
        <v>374.7</v>
      </c>
      <c r="N20" s="43">
        <f t="shared" si="40"/>
        <v>409.9</v>
      </c>
      <c r="O20" s="44">
        <f t="shared" si="40"/>
        <v>166.99999999999997</v>
      </c>
      <c r="P20" s="43">
        <f t="shared" si="40"/>
        <v>166.99999999999997</v>
      </c>
      <c r="Q20" s="43">
        <f t="shared" si="40"/>
        <v>166.99999999999997</v>
      </c>
      <c r="R20" s="43">
        <f t="shared" si="40"/>
        <v>126.69999999999997</v>
      </c>
      <c r="S20" s="43">
        <f t="shared" si="40"/>
        <v>86.69999999999997</v>
      </c>
      <c r="T20" s="43">
        <f t="shared" si="40"/>
        <v>86.69999999999997</v>
      </c>
      <c r="U20" s="43">
        <f t="shared" si="40"/>
        <v>86.69999999999997</v>
      </c>
      <c r="V20" s="43">
        <f t="shared" si="40"/>
        <v>86.69999999999997</v>
      </c>
      <c r="W20" s="43">
        <f t="shared" si="40"/>
        <v>86.69999999999997</v>
      </c>
      <c r="X20" s="44">
        <f t="shared" si="40"/>
        <v>0</v>
      </c>
      <c r="Y20" s="43">
        <f t="shared" si="40"/>
        <v>45.2</v>
      </c>
      <c r="Z20" s="43">
        <f t="shared" si="40"/>
        <v>45.2</v>
      </c>
      <c r="AA20" s="44">
        <f t="shared" si="40"/>
        <v>45.2</v>
      </c>
      <c r="AB20" s="43">
        <f t="shared" si="40"/>
        <v>45.2</v>
      </c>
      <c r="AC20" s="43">
        <f t="shared" si="40"/>
        <v>45.2</v>
      </c>
      <c r="AD20" s="44">
        <f t="shared" si="40"/>
        <v>45.2</v>
      </c>
      <c r="AE20" s="44">
        <f t="shared" si="40"/>
        <v>45.2</v>
      </c>
      <c r="AF20" s="43">
        <f t="shared" si="40"/>
        <v>0</v>
      </c>
      <c r="AG20" s="43">
        <f t="shared" si="40"/>
        <v>0</v>
      </c>
      <c r="AH20" s="43">
        <f t="shared" si="40"/>
        <v>0</v>
      </c>
      <c r="AI20" s="43">
        <f t="shared" si="40"/>
        <v>0</v>
      </c>
      <c r="AJ20" s="43">
        <f t="shared" si="40"/>
        <v>0</v>
      </c>
      <c r="AK20" s="43">
        <f t="shared" si="40"/>
        <v>0</v>
      </c>
      <c r="AL20" s="43">
        <f t="shared" si="40"/>
        <v>0</v>
      </c>
      <c r="AM20" s="43">
        <f t="shared" si="40"/>
        <v>0</v>
      </c>
      <c r="AN20" s="43">
        <f t="shared" si="40"/>
        <v>67.8</v>
      </c>
      <c r="AO20" s="43">
        <f t="shared" si="40"/>
        <v>67.8</v>
      </c>
      <c r="AP20" s="43">
        <f t="shared" si="40"/>
        <v>67.8</v>
      </c>
      <c r="AQ20" s="43">
        <f t="shared" si="40"/>
        <v>67.8</v>
      </c>
      <c r="AR20" s="43">
        <f t="shared" si="40"/>
        <v>37.8</v>
      </c>
      <c r="AS20" s="43">
        <f t="shared" si="40"/>
        <v>0</v>
      </c>
      <c r="AT20" s="43">
        <f t="shared" si="40"/>
        <v>0</v>
      </c>
      <c r="AU20" s="43">
        <f t="shared" si="40"/>
        <v>0</v>
      </c>
      <c r="AV20" s="43">
        <f t="shared" si="40"/>
        <v>37.7</v>
      </c>
      <c r="AW20" s="43">
        <f t="shared" si="40"/>
        <v>174.3</v>
      </c>
      <c r="AX20" s="43">
        <f t="shared" si="40"/>
        <v>174.3</v>
      </c>
      <c r="AY20" s="43">
        <f t="shared" si="40"/>
        <v>154.3</v>
      </c>
      <c r="AZ20" s="43">
        <f t="shared" si="40"/>
        <v>154.3</v>
      </c>
      <c r="BA20" s="43">
        <f t="shared" si="40"/>
        <v>154.3</v>
      </c>
      <c r="BB20" s="43">
        <f t="shared" si="40"/>
        <v>145.3</v>
      </c>
      <c r="BC20" s="43">
        <f t="shared" si="40"/>
        <v>105.30000000000001</v>
      </c>
      <c r="BD20" s="43">
        <f t="shared" si="40"/>
        <v>65.30000000000001</v>
      </c>
      <c r="BE20" s="43">
        <f t="shared" si="40"/>
        <v>25.30000000000001</v>
      </c>
      <c r="BF20" s="43">
        <f t="shared" si="40"/>
        <v>0</v>
      </c>
      <c r="BG20" s="43">
        <f t="shared" si="40"/>
        <v>0</v>
      </c>
      <c r="BH20" s="43">
        <f t="shared" si="40"/>
        <v>19.8</v>
      </c>
      <c r="BI20" s="43">
        <f t="shared" si="40"/>
        <v>101.5</v>
      </c>
      <c r="BJ20" s="43">
        <f t="shared" si="40"/>
        <v>101.5</v>
      </c>
      <c r="BK20" s="43">
        <f t="shared" si="40"/>
        <v>139.6</v>
      </c>
      <c r="BL20" s="43">
        <f t="shared" si="40"/>
        <v>139.6</v>
      </c>
      <c r="BM20" s="43">
        <f t="shared" si="40"/>
        <v>139.6</v>
      </c>
      <c r="BN20" s="43">
        <f t="shared" si="40"/>
        <v>139.6</v>
      </c>
      <c r="BO20" s="43">
        <f t="shared" si="40"/>
        <v>139.6</v>
      </c>
      <c r="BP20" s="43">
        <f t="shared" si="40"/>
        <v>38.099999999999994</v>
      </c>
      <c r="BQ20" s="43">
        <f t="shared" si="40"/>
        <v>38.099999999999994</v>
      </c>
      <c r="BR20" s="43">
        <f aca="true" t="shared" si="41" ref="BR20:EC20">BR19-BR18</f>
        <v>38.099999999999994</v>
      </c>
      <c r="BS20" s="43">
        <f t="shared" si="41"/>
        <v>77.5</v>
      </c>
      <c r="BT20" s="45">
        <f t="shared" si="41"/>
        <v>99</v>
      </c>
      <c r="BU20" s="45">
        <f t="shared" si="41"/>
        <v>99</v>
      </c>
      <c r="BV20" s="45">
        <f t="shared" si="41"/>
        <v>99</v>
      </c>
      <c r="BW20" s="43">
        <f t="shared" si="41"/>
        <v>60.9</v>
      </c>
      <c r="BX20" s="43">
        <f t="shared" si="41"/>
        <v>60.9</v>
      </c>
      <c r="BY20" s="43">
        <f t="shared" si="41"/>
        <v>60.9</v>
      </c>
      <c r="BZ20" s="43">
        <f t="shared" si="41"/>
        <v>47.1</v>
      </c>
      <c r="CA20" s="43">
        <f t="shared" si="41"/>
        <v>47.1</v>
      </c>
      <c r="CB20" s="43">
        <f t="shared" si="41"/>
        <v>47.1</v>
      </c>
      <c r="CC20" s="43">
        <f t="shared" si="41"/>
        <v>47.1</v>
      </c>
      <c r="CD20" s="43">
        <f t="shared" si="41"/>
        <v>47.1</v>
      </c>
      <c r="CE20" s="43">
        <f t="shared" si="41"/>
        <v>47.1</v>
      </c>
      <c r="CF20" s="43">
        <f t="shared" si="41"/>
        <v>82.9</v>
      </c>
      <c r="CG20" s="43">
        <f t="shared" si="41"/>
        <v>107.5</v>
      </c>
      <c r="CH20" s="43">
        <f t="shared" si="41"/>
        <v>107.5</v>
      </c>
      <c r="CI20" s="43">
        <f t="shared" si="41"/>
        <v>107.5</v>
      </c>
      <c r="CJ20" s="43">
        <f t="shared" si="41"/>
        <v>107.5</v>
      </c>
      <c r="CK20" s="43">
        <f t="shared" si="41"/>
        <v>107.5</v>
      </c>
      <c r="CL20" s="43">
        <f t="shared" si="41"/>
        <v>107.5</v>
      </c>
      <c r="CM20" s="43">
        <f t="shared" si="41"/>
        <v>107.5</v>
      </c>
      <c r="CN20" s="43">
        <f t="shared" si="41"/>
        <v>107.5</v>
      </c>
      <c r="CO20" s="43">
        <f t="shared" si="41"/>
        <v>107.5</v>
      </c>
      <c r="CP20" s="43">
        <f t="shared" si="41"/>
        <v>0</v>
      </c>
      <c r="CQ20" s="43">
        <f t="shared" si="41"/>
        <v>0</v>
      </c>
      <c r="CR20" s="43">
        <f t="shared" si="41"/>
        <v>21.7</v>
      </c>
      <c r="CS20" s="43">
        <f t="shared" si="41"/>
        <v>21.7</v>
      </c>
      <c r="CT20" s="43">
        <f t="shared" si="41"/>
        <v>21.7</v>
      </c>
      <c r="CU20" s="43">
        <f t="shared" si="41"/>
        <v>0</v>
      </c>
      <c r="CV20" s="43">
        <f t="shared" si="41"/>
        <v>32.8</v>
      </c>
      <c r="CW20" s="43">
        <f t="shared" si="41"/>
        <v>32.8</v>
      </c>
      <c r="CX20" s="43">
        <f t="shared" si="41"/>
        <v>170.5</v>
      </c>
      <c r="CY20" s="43">
        <f t="shared" si="41"/>
        <v>170.5</v>
      </c>
      <c r="CZ20" s="43">
        <f t="shared" si="41"/>
        <v>118</v>
      </c>
      <c r="DA20" s="43">
        <f t="shared" si="41"/>
        <v>93</v>
      </c>
      <c r="DB20" s="43">
        <f t="shared" si="41"/>
        <v>93</v>
      </c>
      <c r="DC20" s="43">
        <f t="shared" si="41"/>
        <v>93</v>
      </c>
      <c r="DD20" s="43">
        <f t="shared" si="41"/>
        <v>73</v>
      </c>
      <c r="DE20" s="43">
        <f t="shared" si="41"/>
        <v>53</v>
      </c>
      <c r="DF20" s="43">
        <f t="shared" si="41"/>
        <v>33</v>
      </c>
      <c r="DG20" s="43">
        <f t="shared" si="41"/>
        <v>33</v>
      </c>
      <c r="DH20" s="43">
        <f t="shared" si="41"/>
        <v>33</v>
      </c>
      <c r="DI20" s="43">
        <f t="shared" si="41"/>
        <v>33</v>
      </c>
      <c r="DJ20" s="43">
        <f t="shared" si="41"/>
        <v>33</v>
      </c>
      <c r="DK20" s="43">
        <f t="shared" si="41"/>
        <v>33</v>
      </c>
      <c r="DL20" s="43">
        <f t="shared" si="41"/>
        <v>33</v>
      </c>
      <c r="DM20" s="43">
        <f t="shared" si="41"/>
        <v>33</v>
      </c>
      <c r="DN20" s="43">
        <f t="shared" si="41"/>
        <v>192.6</v>
      </c>
      <c r="DO20" s="43">
        <f t="shared" si="41"/>
        <v>192.6</v>
      </c>
      <c r="DP20" s="44">
        <f t="shared" si="41"/>
        <v>0</v>
      </c>
      <c r="DQ20" s="44">
        <f t="shared" si="41"/>
        <v>0</v>
      </c>
      <c r="DR20" s="44">
        <f t="shared" si="41"/>
        <v>0</v>
      </c>
      <c r="DS20" s="44">
        <f t="shared" si="41"/>
        <v>0</v>
      </c>
      <c r="DT20" s="44">
        <f t="shared" si="41"/>
        <v>0</v>
      </c>
      <c r="DU20" s="43">
        <f t="shared" si="41"/>
        <v>0</v>
      </c>
      <c r="DV20" s="43">
        <f t="shared" si="41"/>
        <v>0</v>
      </c>
      <c r="DW20" s="43">
        <f t="shared" si="41"/>
        <v>34</v>
      </c>
      <c r="DX20" s="43">
        <f t="shared" si="41"/>
        <v>34</v>
      </c>
      <c r="DY20" s="43">
        <f t="shared" si="41"/>
        <v>34</v>
      </c>
      <c r="DZ20" s="43">
        <f t="shared" si="41"/>
        <v>34</v>
      </c>
      <c r="EA20" s="43">
        <f t="shared" si="41"/>
        <v>34</v>
      </c>
      <c r="EB20" s="43">
        <f t="shared" si="41"/>
        <v>14</v>
      </c>
      <c r="EC20" s="43">
        <f t="shared" si="41"/>
        <v>14</v>
      </c>
      <c r="ED20" s="43">
        <f aca="true" t="shared" si="42" ref="ED20:GO20">ED19-ED18</f>
        <v>14</v>
      </c>
      <c r="EE20" s="43">
        <f t="shared" si="42"/>
        <v>43.8</v>
      </c>
      <c r="EF20" s="43">
        <f t="shared" si="42"/>
        <v>43.8</v>
      </c>
      <c r="EG20" s="43">
        <f t="shared" si="42"/>
        <v>43.8</v>
      </c>
      <c r="EH20" s="43">
        <f t="shared" si="42"/>
        <v>43.8</v>
      </c>
      <c r="EI20" s="43">
        <f t="shared" si="42"/>
        <v>43.8</v>
      </c>
      <c r="EJ20" s="43">
        <f t="shared" si="42"/>
        <v>43.8</v>
      </c>
      <c r="EK20" s="43">
        <f t="shared" si="42"/>
        <v>43.8</v>
      </c>
      <c r="EL20" s="43">
        <f t="shared" si="42"/>
        <v>43.8</v>
      </c>
      <c r="EM20" s="43">
        <f t="shared" si="42"/>
        <v>43.8</v>
      </c>
      <c r="EN20" s="43">
        <f t="shared" si="42"/>
        <v>43.8</v>
      </c>
      <c r="EO20" s="43">
        <f t="shared" si="42"/>
        <v>43.8</v>
      </c>
      <c r="EP20" s="43">
        <f t="shared" si="42"/>
        <v>0</v>
      </c>
      <c r="EQ20" s="43">
        <f t="shared" si="42"/>
        <v>233.3</v>
      </c>
      <c r="ER20" s="43">
        <f t="shared" si="42"/>
        <v>253.9</v>
      </c>
      <c r="ES20" s="43">
        <f t="shared" si="42"/>
        <v>253.9</v>
      </c>
      <c r="ET20" s="43">
        <f t="shared" si="42"/>
        <v>229.6</v>
      </c>
      <c r="EU20" s="43">
        <f t="shared" si="42"/>
        <v>229.6</v>
      </c>
      <c r="EV20" s="43">
        <f t="shared" si="42"/>
        <v>256.4</v>
      </c>
      <c r="EW20" s="43">
        <f t="shared" si="42"/>
        <v>206.39999999999998</v>
      </c>
      <c r="EX20" s="43">
        <f t="shared" si="42"/>
        <v>156.39999999999998</v>
      </c>
      <c r="EY20" s="43">
        <f t="shared" si="42"/>
        <v>156.39999999999998</v>
      </c>
      <c r="EZ20" s="43">
        <f t="shared" si="42"/>
        <v>212.09999999999997</v>
      </c>
      <c r="FA20" s="43">
        <f t="shared" si="42"/>
        <v>172.09999999999997</v>
      </c>
      <c r="FB20" s="43">
        <f t="shared" si="42"/>
        <v>172.09999999999997</v>
      </c>
      <c r="FC20" s="43">
        <f t="shared" si="42"/>
        <v>172.09999999999997</v>
      </c>
      <c r="FD20" s="43">
        <f t="shared" si="42"/>
        <v>175.89999999999998</v>
      </c>
      <c r="FE20" s="43">
        <f t="shared" si="42"/>
        <v>175.89999999999998</v>
      </c>
      <c r="FF20" s="43">
        <f t="shared" si="42"/>
        <v>175.89999999999998</v>
      </c>
      <c r="FG20" s="43">
        <f t="shared" si="42"/>
        <v>175.89999999999998</v>
      </c>
      <c r="FH20" s="43">
        <f t="shared" si="42"/>
        <v>5.599999999999966</v>
      </c>
      <c r="FI20" s="43">
        <f t="shared" si="42"/>
        <v>5.599999999999966</v>
      </c>
      <c r="FJ20" s="43">
        <f t="shared" si="42"/>
        <v>5.599999999999966</v>
      </c>
      <c r="FK20" s="43">
        <f t="shared" si="42"/>
        <v>5.599999999999966</v>
      </c>
      <c r="FL20" s="43">
        <f t="shared" si="42"/>
        <v>5.599999999999966</v>
      </c>
      <c r="FM20" s="43">
        <f t="shared" si="42"/>
        <v>5.599999999999966</v>
      </c>
      <c r="FN20" s="43">
        <f t="shared" si="42"/>
        <v>5.599999999999966</v>
      </c>
      <c r="FO20" s="43">
        <f t="shared" si="42"/>
        <v>61.099999999999966</v>
      </c>
      <c r="FP20" s="43">
        <f t="shared" si="42"/>
        <v>61.099999999999966</v>
      </c>
      <c r="FQ20" s="43">
        <f t="shared" si="42"/>
        <v>61.099999999999966</v>
      </c>
      <c r="FR20" s="43">
        <f t="shared" si="42"/>
        <v>61.099999999999966</v>
      </c>
      <c r="FS20" s="43">
        <f t="shared" si="42"/>
        <v>61.099999999999966</v>
      </c>
      <c r="FT20" s="43">
        <f t="shared" si="42"/>
        <v>31.099999999999966</v>
      </c>
      <c r="FU20" s="43">
        <f t="shared" si="42"/>
        <v>-3.552713678800501E-14</v>
      </c>
      <c r="FV20" s="43">
        <f t="shared" si="42"/>
        <v>-3.552713678800501E-14</v>
      </c>
      <c r="FW20" s="43">
        <f t="shared" si="42"/>
        <v>-3.552713678800501E-14</v>
      </c>
      <c r="FX20" s="43">
        <f t="shared" si="42"/>
        <v>-3.552713678800501E-14</v>
      </c>
      <c r="FY20" s="43">
        <f t="shared" si="42"/>
        <v>-3.552713678800501E-14</v>
      </c>
      <c r="FZ20" s="43">
        <f t="shared" si="42"/>
        <v>-3.552713678800501E-14</v>
      </c>
      <c r="GA20" s="43">
        <f t="shared" si="42"/>
        <v>-3.552713678800501E-14</v>
      </c>
      <c r="GB20" s="43">
        <f t="shared" si="42"/>
        <v>-3.552713678800501E-14</v>
      </c>
      <c r="GC20" s="43">
        <f t="shared" si="42"/>
        <v>-3.552713678800501E-14</v>
      </c>
      <c r="GD20" s="43">
        <f t="shared" si="42"/>
        <v>-3.552713678800501E-14</v>
      </c>
      <c r="GE20" s="43">
        <f t="shared" si="42"/>
        <v>-3.552713678800501E-14</v>
      </c>
      <c r="GF20" s="43">
        <f t="shared" si="42"/>
        <v>-3.552713678800501E-14</v>
      </c>
      <c r="GG20" s="43">
        <f t="shared" si="42"/>
        <v>-3.552713678800501E-14</v>
      </c>
      <c r="GH20" s="43">
        <f t="shared" si="42"/>
        <v>-3.552713678800501E-14</v>
      </c>
      <c r="GI20" s="43">
        <f t="shared" si="42"/>
        <v>-3.552713678800501E-14</v>
      </c>
      <c r="GJ20" s="43">
        <f t="shared" si="42"/>
        <v>-3.552713678800501E-14</v>
      </c>
      <c r="GK20" s="43">
        <f t="shared" si="42"/>
        <v>-3.552713678800501E-14</v>
      </c>
      <c r="GL20" s="43">
        <f t="shared" si="42"/>
        <v>-3.552713678800501E-14</v>
      </c>
      <c r="GM20" s="43">
        <f t="shared" si="42"/>
        <v>-3.552713678800501E-14</v>
      </c>
      <c r="GN20" s="43">
        <f t="shared" si="42"/>
        <v>-3.552713678800501E-14</v>
      </c>
      <c r="GO20" s="43">
        <f t="shared" si="42"/>
        <v>-3.552713678800501E-14</v>
      </c>
    </row>
    <row r="21" spans="1:256" s="25" customFormat="1" ht="15">
      <c r="A21" s="34" t="s">
        <v>224</v>
      </c>
      <c r="B21" s="35">
        <v>21</v>
      </c>
      <c r="C21" s="24" t="s">
        <v>216</v>
      </c>
      <c r="F21" s="36">
        <v>104.2</v>
      </c>
      <c r="O21" s="36">
        <v>218.4</v>
      </c>
      <c r="T21" s="36">
        <v>30</v>
      </c>
      <c r="X21" s="36">
        <v>166.6</v>
      </c>
      <c r="AA21" s="37"/>
      <c r="AB21" s="36">
        <v>30</v>
      </c>
      <c r="AD21" s="36">
        <v>164.8</v>
      </c>
      <c r="AE21" s="37"/>
      <c r="AF21" s="36">
        <v>35</v>
      </c>
      <c r="AG21" s="36">
        <v>35</v>
      </c>
      <c r="AH21" s="36">
        <v>30</v>
      </c>
      <c r="AJ21" s="36">
        <v>33.8</v>
      </c>
      <c r="AP21" s="36">
        <v>137.9</v>
      </c>
      <c r="AV21" s="36">
        <v>126.9</v>
      </c>
      <c r="AY21" s="38">
        <v>35</v>
      </c>
      <c r="AZ21" s="38">
        <v>35</v>
      </c>
      <c r="BB21" s="39">
        <v>114.4</v>
      </c>
      <c r="BH21" s="39">
        <v>186.2</v>
      </c>
      <c r="BP21" s="36">
        <v>117.1</v>
      </c>
      <c r="BT21" s="40"/>
      <c r="BU21" s="40"/>
      <c r="BV21" s="40"/>
      <c r="BW21" s="36">
        <v>132.9</v>
      </c>
      <c r="BX21" s="38">
        <v>40</v>
      </c>
      <c r="BY21" s="36">
        <v>40</v>
      </c>
      <c r="BZ21" s="38">
        <v>65.3</v>
      </c>
      <c r="CB21" s="38">
        <v>25</v>
      </c>
      <c r="CC21" s="38">
        <v>30</v>
      </c>
      <c r="CD21" s="36">
        <v>30</v>
      </c>
      <c r="CF21" s="38">
        <v>51.9</v>
      </c>
      <c r="CP21" s="36">
        <v>300</v>
      </c>
      <c r="CQ21" s="39">
        <v>22.9</v>
      </c>
      <c r="CS21" s="38">
        <v>30</v>
      </c>
      <c r="CT21" s="38">
        <v>30</v>
      </c>
      <c r="CU21" s="38">
        <v>30</v>
      </c>
      <c r="CV21" s="38">
        <v>30</v>
      </c>
      <c r="CZ21" s="36">
        <v>24.6</v>
      </c>
      <c r="DA21" s="38">
        <v>60</v>
      </c>
      <c r="DB21" s="38">
        <v>60</v>
      </c>
      <c r="DD21" s="36">
        <v>160.6</v>
      </c>
      <c r="DF21" s="38">
        <v>50</v>
      </c>
      <c r="DG21" s="38">
        <v>60</v>
      </c>
      <c r="DH21" s="38">
        <v>60</v>
      </c>
      <c r="DP21" s="36">
        <v>232.4</v>
      </c>
      <c r="DQ21" s="38">
        <v>20</v>
      </c>
      <c r="DR21" s="38">
        <v>25</v>
      </c>
      <c r="DS21" s="37"/>
      <c r="DT21" s="38">
        <v>50</v>
      </c>
      <c r="DV21" s="38">
        <v>113.6</v>
      </c>
      <c r="DW21" s="38">
        <v>40</v>
      </c>
      <c r="DX21" s="38">
        <v>40</v>
      </c>
      <c r="DY21" s="38">
        <v>40</v>
      </c>
      <c r="DZ21" s="38">
        <v>40</v>
      </c>
      <c r="EB21" s="38">
        <v>100</v>
      </c>
      <c r="ED21" s="38">
        <v>40</v>
      </c>
      <c r="EE21" s="38">
        <v>40</v>
      </c>
      <c r="EF21" s="36">
        <v>40</v>
      </c>
      <c r="EH21" s="36">
        <v>40</v>
      </c>
      <c r="EP21" s="36">
        <v>171</v>
      </c>
      <c r="EQ21" s="36">
        <v>50</v>
      </c>
      <c r="ET21" s="38">
        <v>50.3</v>
      </c>
      <c r="EV21" s="38">
        <v>40</v>
      </c>
      <c r="EW21" s="41">
        <v>40</v>
      </c>
      <c r="EX21" s="38">
        <v>40</v>
      </c>
      <c r="EZ21" s="36">
        <v>86.2</v>
      </c>
      <c r="FB21" s="38">
        <v>50</v>
      </c>
      <c r="FD21" s="36">
        <v>84</v>
      </c>
      <c r="FF21" s="38">
        <v>102.7</v>
      </c>
      <c r="FR21" s="25">
        <v>220</v>
      </c>
      <c r="FS21" s="25">
        <v>47.2</v>
      </c>
      <c r="FX21" s="25">
        <v>149</v>
      </c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</row>
    <row r="22" spans="1:197" s="42" customFormat="1" ht="15">
      <c r="A22" s="34"/>
      <c r="B22" s="35"/>
      <c r="C22" s="24" t="s">
        <v>217</v>
      </c>
      <c r="D22" s="25">
        <v>108.9</v>
      </c>
      <c r="E22" s="25">
        <f>D23</f>
        <v>108.9</v>
      </c>
      <c r="F22" s="25">
        <f aca="true" t="shared" si="43" ref="F22:BQ22">E23</f>
        <v>108.9</v>
      </c>
      <c r="G22" s="25">
        <f>F23+9.1+2+207.3</f>
        <v>223.10000000000002</v>
      </c>
      <c r="H22" s="25">
        <f t="shared" si="43"/>
        <v>223.10000000000002</v>
      </c>
      <c r="I22" s="25">
        <f t="shared" si="43"/>
        <v>223.10000000000002</v>
      </c>
      <c r="J22" s="25">
        <f t="shared" si="43"/>
        <v>223.10000000000002</v>
      </c>
      <c r="K22" s="25">
        <f t="shared" si="43"/>
        <v>223.10000000000002</v>
      </c>
      <c r="L22" s="25">
        <f t="shared" si="43"/>
        <v>223.10000000000002</v>
      </c>
      <c r="M22" s="25">
        <f t="shared" si="43"/>
        <v>223.10000000000002</v>
      </c>
      <c r="N22" s="25">
        <f t="shared" si="43"/>
        <v>223.10000000000002</v>
      </c>
      <c r="O22" s="37">
        <f t="shared" si="43"/>
        <v>223.10000000000002</v>
      </c>
      <c r="P22" s="25">
        <f t="shared" si="43"/>
        <v>4.700000000000017</v>
      </c>
      <c r="Q22" s="25">
        <f t="shared" si="43"/>
        <v>4.700000000000017</v>
      </c>
      <c r="R22" s="25">
        <f t="shared" si="43"/>
        <v>4.700000000000017</v>
      </c>
      <c r="S22" s="25">
        <f t="shared" si="43"/>
        <v>4.700000000000017</v>
      </c>
      <c r="T22" s="25">
        <f>S23+196.6</f>
        <v>201.3</v>
      </c>
      <c r="U22" s="25">
        <f t="shared" si="43"/>
        <v>171.3</v>
      </c>
      <c r="V22" s="25">
        <f t="shared" si="43"/>
        <v>171.3</v>
      </c>
      <c r="W22" s="25">
        <f t="shared" si="43"/>
        <v>171.3</v>
      </c>
      <c r="X22" s="37">
        <f t="shared" si="43"/>
        <v>171.3</v>
      </c>
      <c r="Y22" s="25">
        <f t="shared" si="43"/>
        <v>4.700000000000017</v>
      </c>
      <c r="Z22" s="25">
        <f>Y23+6.8+71.4+116.6</f>
        <v>199.5</v>
      </c>
      <c r="AA22" s="37">
        <f t="shared" si="43"/>
        <v>199.5</v>
      </c>
      <c r="AB22" s="25">
        <f t="shared" si="43"/>
        <v>199.5</v>
      </c>
      <c r="AC22" s="25">
        <f t="shared" si="43"/>
        <v>169.5</v>
      </c>
      <c r="AD22" s="37">
        <f t="shared" si="43"/>
        <v>169.5</v>
      </c>
      <c r="AE22" s="37">
        <f t="shared" si="43"/>
        <v>4.699999999999989</v>
      </c>
      <c r="AF22" s="25">
        <f>AE23+133.8</f>
        <v>138.5</v>
      </c>
      <c r="AG22" s="25">
        <f t="shared" si="43"/>
        <v>103.5</v>
      </c>
      <c r="AH22" s="25">
        <f t="shared" si="43"/>
        <v>68.5</v>
      </c>
      <c r="AI22" s="25">
        <f t="shared" si="43"/>
        <v>38.5</v>
      </c>
      <c r="AJ22" s="25">
        <f t="shared" si="43"/>
        <v>38.5</v>
      </c>
      <c r="AK22" s="25">
        <f>AJ23+137.9</f>
        <v>142.60000000000002</v>
      </c>
      <c r="AL22" s="25">
        <f t="shared" si="43"/>
        <v>142.60000000000002</v>
      </c>
      <c r="AM22" s="25">
        <f t="shared" si="43"/>
        <v>142.60000000000002</v>
      </c>
      <c r="AN22" s="25">
        <f t="shared" si="43"/>
        <v>142.60000000000002</v>
      </c>
      <c r="AO22" s="25">
        <f t="shared" si="43"/>
        <v>142.60000000000002</v>
      </c>
      <c r="AP22" s="25">
        <f t="shared" si="43"/>
        <v>142.60000000000002</v>
      </c>
      <c r="AQ22" s="25">
        <f>AP23+126.9</f>
        <v>131.60000000000002</v>
      </c>
      <c r="AR22" s="25">
        <f t="shared" si="43"/>
        <v>131.60000000000002</v>
      </c>
      <c r="AS22" s="25">
        <f t="shared" si="43"/>
        <v>131.60000000000002</v>
      </c>
      <c r="AT22" s="25">
        <f t="shared" si="43"/>
        <v>131.60000000000002</v>
      </c>
      <c r="AU22" s="25">
        <f t="shared" si="43"/>
        <v>131.60000000000002</v>
      </c>
      <c r="AV22" s="25">
        <f t="shared" si="43"/>
        <v>131.60000000000002</v>
      </c>
      <c r="AW22" s="25">
        <f>AV23+184.4</f>
        <v>189.10000000000002</v>
      </c>
      <c r="AX22" s="25">
        <f t="shared" si="43"/>
        <v>189.10000000000002</v>
      </c>
      <c r="AY22" s="25">
        <f t="shared" si="43"/>
        <v>189.10000000000002</v>
      </c>
      <c r="AZ22" s="25">
        <f t="shared" si="43"/>
        <v>154.10000000000002</v>
      </c>
      <c r="BA22" s="25">
        <f t="shared" si="43"/>
        <v>119.10000000000002</v>
      </c>
      <c r="BB22" s="25">
        <f t="shared" si="43"/>
        <v>119.10000000000002</v>
      </c>
      <c r="BC22" s="25">
        <f>BB23+118.3+1.3+66.7</f>
        <v>191</v>
      </c>
      <c r="BD22" s="25">
        <f t="shared" si="43"/>
        <v>191</v>
      </c>
      <c r="BE22" s="25">
        <f t="shared" si="43"/>
        <v>191</v>
      </c>
      <c r="BF22" s="25">
        <f t="shared" si="43"/>
        <v>191</v>
      </c>
      <c r="BG22" s="25">
        <f t="shared" si="43"/>
        <v>191</v>
      </c>
      <c r="BH22" s="25">
        <f t="shared" si="43"/>
        <v>191</v>
      </c>
      <c r="BI22" s="25">
        <f t="shared" si="43"/>
        <v>4.800000000000011</v>
      </c>
      <c r="BJ22" s="25">
        <f>BI23+117.1</f>
        <v>121.9</v>
      </c>
      <c r="BK22" s="25">
        <f t="shared" si="43"/>
        <v>121.9</v>
      </c>
      <c r="BL22" s="25">
        <f t="shared" si="43"/>
        <v>121.9</v>
      </c>
      <c r="BM22" s="25">
        <f t="shared" si="43"/>
        <v>121.9</v>
      </c>
      <c r="BN22" s="25">
        <f t="shared" si="43"/>
        <v>121.9</v>
      </c>
      <c r="BO22" s="25">
        <f>BN23+131</f>
        <v>252.9</v>
      </c>
      <c r="BP22" s="25">
        <f>BO23</f>
        <v>252.9</v>
      </c>
      <c r="BQ22" s="25">
        <f t="shared" si="43"/>
        <v>135.8</v>
      </c>
      <c r="BR22" s="25">
        <f aca="true" t="shared" si="44" ref="BR22:EC22">BQ23</f>
        <v>135.8</v>
      </c>
      <c r="BS22" s="25">
        <f t="shared" si="44"/>
        <v>135.8</v>
      </c>
      <c r="BT22" s="40">
        <f t="shared" si="44"/>
        <v>135.8</v>
      </c>
      <c r="BU22" s="40">
        <f t="shared" si="44"/>
        <v>135.8</v>
      </c>
      <c r="BV22" s="40">
        <f>BU23+150.1</f>
        <v>285.9</v>
      </c>
      <c r="BW22" s="25">
        <f>BV23</f>
        <v>285.9</v>
      </c>
      <c r="BX22" s="25">
        <f t="shared" si="44"/>
        <v>152.99999999999997</v>
      </c>
      <c r="BY22" s="25">
        <f t="shared" si="44"/>
        <v>112.99999999999997</v>
      </c>
      <c r="BZ22" s="25">
        <f>BY23-4.8</f>
        <v>68.19999999999997</v>
      </c>
      <c r="CA22" s="25">
        <f>BZ23+122.1+41.6+4</f>
        <v>170.59999999999997</v>
      </c>
      <c r="CB22" s="25">
        <f t="shared" si="44"/>
        <v>170.59999999999997</v>
      </c>
      <c r="CC22" s="25">
        <f t="shared" si="44"/>
        <v>145.59999999999997</v>
      </c>
      <c r="CD22" s="25">
        <f t="shared" si="44"/>
        <v>115.59999999999997</v>
      </c>
      <c r="CE22" s="25">
        <f t="shared" si="44"/>
        <v>85.59999999999997</v>
      </c>
      <c r="CF22" s="25">
        <f t="shared" si="44"/>
        <v>85.59999999999997</v>
      </c>
      <c r="CG22" s="25">
        <f t="shared" si="44"/>
        <v>33.69999999999997</v>
      </c>
      <c r="CH22" s="25">
        <f t="shared" si="44"/>
        <v>33.69999999999997</v>
      </c>
      <c r="CI22" s="25">
        <f>CH23+200.6</f>
        <v>234.29999999999995</v>
      </c>
      <c r="CJ22" s="25">
        <f>CI23</f>
        <v>234.29999999999995</v>
      </c>
      <c r="CK22" s="25">
        <f t="shared" si="44"/>
        <v>234.29999999999995</v>
      </c>
      <c r="CL22" s="25">
        <f>CK23+91.1</f>
        <v>325.4</v>
      </c>
      <c r="CM22" s="25">
        <f>CL23</f>
        <v>325.4</v>
      </c>
      <c r="CN22" s="25">
        <f t="shared" si="44"/>
        <v>325.4</v>
      </c>
      <c r="CO22" s="25">
        <f t="shared" si="44"/>
        <v>325.4</v>
      </c>
      <c r="CP22" s="25">
        <f t="shared" si="44"/>
        <v>325.4</v>
      </c>
      <c r="CQ22" s="25">
        <f t="shared" si="44"/>
        <v>25.399999999999977</v>
      </c>
      <c r="CR22" s="25">
        <f t="shared" si="44"/>
        <v>2.4999999999999787</v>
      </c>
      <c r="CS22" s="25">
        <f>CR23+144.6</f>
        <v>147.09999999999997</v>
      </c>
      <c r="CT22" s="25">
        <f t="shared" si="44"/>
        <v>117.09999999999997</v>
      </c>
      <c r="CU22" s="25">
        <f t="shared" si="44"/>
        <v>87.09999999999997</v>
      </c>
      <c r="CV22" s="25">
        <f t="shared" si="44"/>
        <v>57.099999999999966</v>
      </c>
      <c r="CW22" s="25">
        <f t="shared" si="44"/>
        <v>27.099999999999966</v>
      </c>
      <c r="CX22" s="25">
        <f t="shared" si="44"/>
        <v>27.099999999999966</v>
      </c>
      <c r="CY22" s="25">
        <f t="shared" si="44"/>
        <v>27.099999999999966</v>
      </c>
      <c r="CZ22" s="25">
        <f t="shared" si="44"/>
        <v>27.099999999999966</v>
      </c>
      <c r="DA22" s="25">
        <f>CZ23+158.7+121.9</f>
        <v>283.09999999999997</v>
      </c>
      <c r="DB22" s="25">
        <f t="shared" si="44"/>
        <v>223.09999999999997</v>
      </c>
      <c r="DC22" s="25">
        <f t="shared" si="44"/>
        <v>163.09999999999997</v>
      </c>
      <c r="DD22" s="25">
        <f t="shared" si="44"/>
        <v>163.09999999999997</v>
      </c>
      <c r="DE22" s="25">
        <f>DD23+44.9</f>
        <v>47.39999999999997</v>
      </c>
      <c r="DF22" s="25">
        <f>DE23+321.6+3.9</f>
        <v>372.9</v>
      </c>
      <c r="DG22" s="25">
        <f>DF23+1.1</f>
        <v>324</v>
      </c>
      <c r="DH22" s="25">
        <f t="shared" si="44"/>
        <v>264</v>
      </c>
      <c r="DI22" s="25">
        <f t="shared" si="44"/>
        <v>204</v>
      </c>
      <c r="DJ22" s="25">
        <f t="shared" si="44"/>
        <v>204</v>
      </c>
      <c r="DK22" s="25">
        <f>DJ23+83.7+7.4+15.5+24.4</f>
        <v>334.99999999999994</v>
      </c>
      <c r="DL22" s="25">
        <f t="shared" si="44"/>
        <v>334.99999999999994</v>
      </c>
      <c r="DM22" s="25">
        <f t="shared" si="44"/>
        <v>334.99999999999994</v>
      </c>
      <c r="DN22" s="25">
        <f t="shared" si="44"/>
        <v>334.99999999999994</v>
      </c>
      <c r="DO22" s="25">
        <f t="shared" si="44"/>
        <v>334.99999999999994</v>
      </c>
      <c r="DP22" s="37">
        <f t="shared" si="44"/>
        <v>334.99999999999994</v>
      </c>
      <c r="DQ22" s="37">
        <f t="shared" si="44"/>
        <v>102.59999999999994</v>
      </c>
      <c r="DR22" s="37">
        <f t="shared" si="44"/>
        <v>82.59999999999994</v>
      </c>
      <c r="DS22" s="37">
        <f>DR23+103.6+1.6</f>
        <v>162.79999999999993</v>
      </c>
      <c r="DT22" s="37">
        <f t="shared" si="44"/>
        <v>162.79999999999993</v>
      </c>
      <c r="DU22" s="25">
        <f t="shared" si="44"/>
        <v>112.79999999999993</v>
      </c>
      <c r="DV22" s="25">
        <f t="shared" si="44"/>
        <v>112.79999999999993</v>
      </c>
      <c r="DW22" s="25">
        <f>DV23+260.5</f>
        <v>259.69999999999993</v>
      </c>
      <c r="DX22" s="25">
        <f t="shared" si="44"/>
        <v>219.69999999999993</v>
      </c>
      <c r="DY22" s="25">
        <f t="shared" si="44"/>
        <v>179.69999999999993</v>
      </c>
      <c r="DZ22" s="25">
        <f t="shared" si="44"/>
        <v>139.69999999999993</v>
      </c>
      <c r="EA22" s="25">
        <f t="shared" si="44"/>
        <v>99.69999999999993</v>
      </c>
      <c r="EB22" s="25">
        <f>EA23+44.3+236.6+1.2</f>
        <v>381.7999999999999</v>
      </c>
      <c r="EC22" s="25">
        <f t="shared" si="44"/>
        <v>281.7999999999999</v>
      </c>
      <c r="ED22" s="25">
        <f aca="true" t="shared" si="45" ref="ED22:GO22">EC23</f>
        <v>281.7999999999999</v>
      </c>
      <c r="EE22" s="25">
        <f t="shared" si="45"/>
        <v>241.7999999999999</v>
      </c>
      <c r="EF22" s="25">
        <f t="shared" si="45"/>
        <v>201.7999999999999</v>
      </c>
      <c r="EG22" s="25">
        <f t="shared" si="45"/>
        <v>161.7999999999999</v>
      </c>
      <c r="EH22" s="25">
        <f t="shared" si="45"/>
        <v>161.7999999999999</v>
      </c>
      <c r="EI22" s="25">
        <f t="shared" si="45"/>
        <v>121.7999999999999</v>
      </c>
      <c r="EJ22" s="25">
        <f>EI23+49.2</f>
        <v>170.9999999999999</v>
      </c>
      <c r="EK22" s="25">
        <f t="shared" si="45"/>
        <v>170.9999999999999</v>
      </c>
      <c r="EL22" s="25">
        <f t="shared" si="45"/>
        <v>170.9999999999999</v>
      </c>
      <c r="EM22" s="25">
        <f t="shared" si="45"/>
        <v>170.9999999999999</v>
      </c>
      <c r="EN22" s="25">
        <f t="shared" si="45"/>
        <v>170.9999999999999</v>
      </c>
      <c r="EO22" s="25">
        <f t="shared" si="45"/>
        <v>170.9999999999999</v>
      </c>
      <c r="EP22" s="25">
        <f>EO23+100.3</f>
        <v>271.2999999999999</v>
      </c>
      <c r="EQ22" s="25">
        <f t="shared" si="45"/>
        <v>100.2999999999999</v>
      </c>
      <c r="ER22" s="25">
        <f>EQ23</f>
        <v>50.2999999999999</v>
      </c>
      <c r="ES22" s="25">
        <f>ER23</f>
        <v>50.2999999999999</v>
      </c>
      <c r="ET22" s="25">
        <f>ER23</f>
        <v>50.2999999999999</v>
      </c>
      <c r="EU22" s="25">
        <f>ET23+206.2</f>
        <v>206.19999999999987</v>
      </c>
      <c r="EV22" s="25">
        <f t="shared" si="45"/>
        <v>206.19999999999987</v>
      </c>
      <c r="EW22" s="25">
        <f t="shared" si="45"/>
        <v>166.19999999999987</v>
      </c>
      <c r="EX22" s="25">
        <f t="shared" si="45"/>
        <v>126.19999999999987</v>
      </c>
      <c r="EY22" s="25">
        <f t="shared" si="45"/>
        <v>86.19999999999987</v>
      </c>
      <c r="EZ22" s="25">
        <f t="shared" si="45"/>
        <v>86.19999999999987</v>
      </c>
      <c r="FA22" s="25">
        <f t="shared" si="45"/>
        <v>-1.2789769243681803E-13</v>
      </c>
      <c r="FB22" s="25">
        <f>FA23+6.4+230.3</f>
        <v>236.69999999999987</v>
      </c>
      <c r="FC22" s="25">
        <f t="shared" si="45"/>
        <v>186.69999999999987</v>
      </c>
      <c r="FD22" s="25">
        <f t="shared" si="45"/>
        <v>186.69999999999987</v>
      </c>
      <c r="FE22" s="25">
        <f t="shared" si="45"/>
        <v>102.69999999999987</v>
      </c>
      <c r="FF22" s="25">
        <f t="shared" si="45"/>
        <v>102.69999999999987</v>
      </c>
      <c r="FG22" s="25">
        <f t="shared" si="45"/>
        <v>-1.2789769243681803E-13</v>
      </c>
      <c r="FH22" s="25">
        <f>FG23</f>
        <v>-1.2789769243681803E-13</v>
      </c>
      <c r="FI22" s="25">
        <f t="shared" si="45"/>
        <v>-1.2789769243681803E-13</v>
      </c>
      <c r="FJ22" s="25">
        <f t="shared" si="45"/>
        <v>-1.2789769243681803E-13</v>
      </c>
      <c r="FK22" s="25">
        <f t="shared" si="45"/>
        <v>-1.2789769243681803E-13</v>
      </c>
      <c r="FL22" s="25">
        <f>FK23+267.2</f>
        <v>267.1999999999999</v>
      </c>
      <c r="FM22" s="25">
        <f t="shared" si="45"/>
        <v>267.1999999999999</v>
      </c>
      <c r="FN22" s="25">
        <f t="shared" si="45"/>
        <v>267.1999999999999</v>
      </c>
      <c r="FO22" s="25">
        <f t="shared" si="45"/>
        <v>267.1999999999999</v>
      </c>
      <c r="FP22" s="25">
        <f t="shared" si="45"/>
        <v>267.1999999999999</v>
      </c>
      <c r="FQ22" s="25">
        <f t="shared" si="45"/>
        <v>267.1999999999999</v>
      </c>
      <c r="FR22" s="25">
        <f t="shared" si="45"/>
        <v>267.1999999999999</v>
      </c>
      <c r="FS22" s="25">
        <f>FR23+149</f>
        <v>196.19999999999987</v>
      </c>
      <c r="FT22" s="25">
        <f t="shared" si="45"/>
        <v>148.9999999999999</v>
      </c>
      <c r="FU22" s="25">
        <f t="shared" si="45"/>
        <v>148.9999999999999</v>
      </c>
      <c r="FV22" s="25">
        <f t="shared" si="45"/>
        <v>148.9999999999999</v>
      </c>
      <c r="FW22" s="25">
        <f t="shared" si="45"/>
        <v>148.9999999999999</v>
      </c>
      <c r="FX22" s="25">
        <f t="shared" si="45"/>
        <v>148.9999999999999</v>
      </c>
      <c r="FY22" s="25">
        <f t="shared" si="45"/>
        <v>0</v>
      </c>
      <c r="FZ22" s="25">
        <f t="shared" si="45"/>
        <v>0</v>
      </c>
      <c r="GA22" s="25">
        <f t="shared" si="45"/>
        <v>0</v>
      </c>
      <c r="GB22" s="25">
        <f t="shared" si="45"/>
        <v>0</v>
      </c>
      <c r="GC22" s="25">
        <f t="shared" si="45"/>
        <v>0</v>
      </c>
      <c r="GD22" s="25">
        <f t="shared" si="45"/>
        <v>0</v>
      </c>
      <c r="GE22" s="25">
        <f t="shared" si="45"/>
        <v>0</v>
      </c>
      <c r="GF22" s="25">
        <f t="shared" si="45"/>
        <v>0</v>
      </c>
      <c r="GG22" s="25">
        <f t="shared" si="45"/>
        <v>0</v>
      </c>
      <c r="GH22" s="25">
        <f t="shared" si="45"/>
        <v>0</v>
      </c>
      <c r="GI22" s="25">
        <f t="shared" si="45"/>
        <v>0</v>
      </c>
      <c r="GJ22" s="25">
        <f t="shared" si="45"/>
        <v>0</v>
      </c>
      <c r="GK22" s="25">
        <f t="shared" si="45"/>
        <v>0</v>
      </c>
      <c r="GL22" s="25">
        <f t="shared" si="45"/>
        <v>0</v>
      </c>
      <c r="GM22" s="25">
        <f t="shared" si="45"/>
        <v>0</v>
      </c>
      <c r="GN22" s="25">
        <f t="shared" si="45"/>
        <v>0</v>
      </c>
      <c r="GO22" s="25">
        <f t="shared" si="45"/>
        <v>0</v>
      </c>
    </row>
    <row r="23" spans="1:197" s="42" customFormat="1" ht="15">
      <c r="A23" s="34"/>
      <c r="B23" s="35"/>
      <c r="C23" s="24" t="s">
        <v>218</v>
      </c>
      <c r="D23" s="43">
        <f>D22-D21</f>
        <v>108.9</v>
      </c>
      <c r="E23" s="43">
        <f>E22-E21</f>
        <v>108.9</v>
      </c>
      <c r="F23" s="43">
        <f aca="true" t="shared" si="46" ref="F23:BQ23">F22-F21</f>
        <v>4.700000000000003</v>
      </c>
      <c r="G23" s="43">
        <f t="shared" si="46"/>
        <v>223.10000000000002</v>
      </c>
      <c r="H23" s="43">
        <f t="shared" si="46"/>
        <v>223.10000000000002</v>
      </c>
      <c r="I23" s="43">
        <f t="shared" si="46"/>
        <v>223.10000000000002</v>
      </c>
      <c r="J23" s="43">
        <f t="shared" si="46"/>
        <v>223.10000000000002</v>
      </c>
      <c r="K23" s="43">
        <f t="shared" si="46"/>
        <v>223.10000000000002</v>
      </c>
      <c r="L23" s="43">
        <f t="shared" si="46"/>
        <v>223.10000000000002</v>
      </c>
      <c r="M23" s="43">
        <f t="shared" si="46"/>
        <v>223.10000000000002</v>
      </c>
      <c r="N23" s="43">
        <f t="shared" si="46"/>
        <v>223.10000000000002</v>
      </c>
      <c r="O23" s="44">
        <f t="shared" si="46"/>
        <v>4.700000000000017</v>
      </c>
      <c r="P23" s="43">
        <f t="shared" si="46"/>
        <v>4.700000000000017</v>
      </c>
      <c r="Q23" s="43">
        <f t="shared" si="46"/>
        <v>4.700000000000017</v>
      </c>
      <c r="R23" s="43">
        <f t="shared" si="46"/>
        <v>4.700000000000017</v>
      </c>
      <c r="S23" s="43">
        <f t="shared" si="46"/>
        <v>4.700000000000017</v>
      </c>
      <c r="T23" s="43">
        <f t="shared" si="46"/>
        <v>171.3</v>
      </c>
      <c r="U23" s="43">
        <f t="shared" si="46"/>
        <v>171.3</v>
      </c>
      <c r="V23" s="43">
        <f t="shared" si="46"/>
        <v>171.3</v>
      </c>
      <c r="W23" s="43">
        <f t="shared" si="46"/>
        <v>171.3</v>
      </c>
      <c r="X23" s="44">
        <f t="shared" si="46"/>
        <v>4.700000000000017</v>
      </c>
      <c r="Y23" s="43">
        <f t="shared" si="46"/>
        <v>4.700000000000017</v>
      </c>
      <c r="Z23" s="43">
        <f t="shared" si="46"/>
        <v>199.5</v>
      </c>
      <c r="AA23" s="44">
        <f t="shared" si="46"/>
        <v>199.5</v>
      </c>
      <c r="AB23" s="43">
        <f t="shared" si="46"/>
        <v>169.5</v>
      </c>
      <c r="AC23" s="43">
        <f t="shared" si="46"/>
        <v>169.5</v>
      </c>
      <c r="AD23" s="44">
        <f t="shared" si="46"/>
        <v>4.699999999999989</v>
      </c>
      <c r="AE23" s="44">
        <f t="shared" si="46"/>
        <v>4.699999999999989</v>
      </c>
      <c r="AF23" s="43">
        <f t="shared" si="46"/>
        <v>103.5</v>
      </c>
      <c r="AG23" s="43">
        <f t="shared" si="46"/>
        <v>68.5</v>
      </c>
      <c r="AH23" s="43">
        <f t="shared" si="46"/>
        <v>38.5</v>
      </c>
      <c r="AI23" s="43">
        <f t="shared" si="46"/>
        <v>38.5</v>
      </c>
      <c r="AJ23" s="43">
        <f t="shared" si="46"/>
        <v>4.700000000000003</v>
      </c>
      <c r="AK23" s="43">
        <f t="shared" si="46"/>
        <v>142.60000000000002</v>
      </c>
      <c r="AL23" s="43">
        <f t="shared" si="46"/>
        <v>142.60000000000002</v>
      </c>
      <c r="AM23" s="43">
        <f t="shared" si="46"/>
        <v>142.60000000000002</v>
      </c>
      <c r="AN23" s="43">
        <f t="shared" si="46"/>
        <v>142.60000000000002</v>
      </c>
      <c r="AO23" s="43">
        <f t="shared" si="46"/>
        <v>142.60000000000002</v>
      </c>
      <c r="AP23" s="43">
        <f t="shared" si="46"/>
        <v>4.700000000000017</v>
      </c>
      <c r="AQ23" s="43">
        <f t="shared" si="46"/>
        <v>131.60000000000002</v>
      </c>
      <c r="AR23" s="43">
        <f t="shared" si="46"/>
        <v>131.60000000000002</v>
      </c>
      <c r="AS23" s="43">
        <f t="shared" si="46"/>
        <v>131.60000000000002</v>
      </c>
      <c r="AT23" s="43">
        <f t="shared" si="46"/>
        <v>131.60000000000002</v>
      </c>
      <c r="AU23" s="43">
        <f t="shared" si="46"/>
        <v>131.60000000000002</v>
      </c>
      <c r="AV23" s="43">
        <f t="shared" si="46"/>
        <v>4.700000000000017</v>
      </c>
      <c r="AW23" s="43">
        <f t="shared" si="46"/>
        <v>189.10000000000002</v>
      </c>
      <c r="AX23" s="43">
        <f t="shared" si="46"/>
        <v>189.10000000000002</v>
      </c>
      <c r="AY23" s="43">
        <f t="shared" si="46"/>
        <v>154.10000000000002</v>
      </c>
      <c r="AZ23" s="43">
        <f t="shared" si="46"/>
        <v>119.10000000000002</v>
      </c>
      <c r="BA23" s="43">
        <f t="shared" si="46"/>
        <v>119.10000000000002</v>
      </c>
      <c r="BB23" s="43">
        <f t="shared" si="46"/>
        <v>4.700000000000017</v>
      </c>
      <c r="BC23" s="43">
        <f t="shared" si="46"/>
        <v>191</v>
      </c>
      <c r="BD23" s="43">
        <f t="shared" si="46"/>
        <v>191</v>
      </c>
      <c r="BE23" s="43">
        <f t="shared" si="46"/>
        <v>191</v>
      </c>
      <c r="BF23" s="43">
        <f t="shared" si="46"/>
        <v>191</v>
      </c>
      <c r="BG23" s="43">
        <f t="shared" si="46"/>
        <v>191</v>
      </c>
      <c r="BH23" s="43">
        <f t="shared" si="46"/>
        <v>4.800000000000011</v>
      </c>
      <c r="BI23" s="43">
        <f t="shared" si="46"/>
        <v>4.800000000000011</v>
      </c>
      <c r="BJ23" s="43">
        <f t="shared" si="46"/>
        <v>121.9</v>
      </c>
      <c r="BK23" s="43">
        <f t="shared" si="46"/>
        <v>121.9</v>
      </c>
      <c r="BL23" s="43">
        <f t="shared" si="46"/>
        <v>121.9</v>
      </c>
      <c r="BM23" s="43">
        <f t="shared" si="46"/>
        <v>121.9</v>
      </c>
      <c r="BN23" s="43">
        <f t="shared" si="46"/>
        <v>121.9</v>
      </c>
      <c r="BO23" s="43">
        <f t="shared" si="46"/>
        <v>252.9</v>
      </c>
      <c r="BP23" s="43">
        <f t="shared" si="46"/>
        <v>135.8</v>
      </c>
      <c r="BQ23" s="43">
        <f t="shared" si="46"/>
        <v>135.8</v>
      </c>
      <c r="BR23" s="43">
        <f aca="true" t="shared" si="47" ref="BR23:EC23">BR22-BR21</f>
        <v>135.8</v>
      </c>
      <c r="BS23" s="43">
        <f t="shared" si="47"/>
        <v>135.8</v>
      </c>
      <c r="BT23" s="45">
        <f t="shared" si="47"/>
        <v>135.8</v>
      </c>
      <c r="BU23" s="45">
        <f t="shared" si="47"/>
        <v>135.8</v>
      </c>
      <c r="BV23" s="45">
        <f t="shared" si="47"/>
        <v>285.9</v>
      </c>
      <c r="BW23" s="43">
        <f t="shared" si="47"/>
        <v>152.99999999999997</v>
      </c>
      <c r="BX23" s="43">
        <f t="shared" si="47"/>
        <v>112.99999999999997</v>
      </c>
      <c r="BY23" s="43">
        <f t="shared" si="47"/>
        <v>72.99999999999997</v>
      </c>
      <c r="BZ23" s="43">
        <f t="shared" si="47"/>
        <v>2.8999999999999773</v>
      </c>
      <c r="CA23" s="43">
        <f t="shared" si="47"/>
        <v>170.59999999999997</v>
      </c>
      <c r="CB23" s="43">
        <f t="shared" si="47"/>
        <v>145.59999999999997</v>
      </c>
      <c r="CC23" s="43">
        <f t="shared" si="47"/>
        <v>115.59999999999997</v>
      </c>
      <c r="CD23" s="43">
        <f t="shared" si="47"/>
        <v>85.59999999999997</v>
      </c>
      <c r="CE23" s="43">
        <f t="shared" si="47"/>
        <v>85.59999999999997</v>
      </c>
      <c r="CF23" s="43">
        <f t="shared" si="47"/>
        <v>33.69999999999997</v>
      </c>
      <c r="CG23" s="43">
        <f t="shared" si="47"/>
        <v>33.69999999999997</v>
      </c>
      <c r="CH23" s="43">
        <f t="shared" si="47"/>
        <v>33.69999999999997</v>
      </c>
      <c r="CI23" s="43">
        <f t="shared" si="47"/>
        <v>234.29999999999995</v>
      </c>
      <c r="CJ23" s="43">
        <f t="shared" si="47"/>
        <v>234.29999999999995</v>
      </c>
      <c r="CK23" s="43">
        <f t="shared" si="47"/>
        <v>234.29999999999995</v>
      </c>
      <c r="CL23" s="43">
        <f t="shared" si="47"/>
        <v>325.4</v>
      </c>
      <c r="CM23" s="43">
        <f t="shared" si="47"/>
        <v>325.4</v>
      </c>
      <c r="CN23" s="43">
        <f t="shared" si="47"/>
        <v>325.4</v>
      </c>
      <c r="CO23" s="43">
        <f t="shared" si="47"/>
        <v>325.4</v>
      </c>
      <c r="CP23" s="43">
        <f t="shared" si="47"/>
        <v>25.399999999999977</v>
      </c>
      <c r="CQ23" s="43">
        <f t="shared" si="47"/>
        <v>2.4999999999999787</v>
      </c>
      <c r="CR23" s="43">
        <f t="shared" si="47"/>
        <v>2.4999999999999787</v>
      </c>
      <c r="CS23" s="43">
        <f t="shared" si="47"/>
        <v>117.09999999999997</v>
      </c>
      <c r="CT23" s="43">
        <f t="shared" si="47"/>
        <v>87.09999999999997</v>
      </c>
      <c r="CU23" s="43">
        <f t="shared" si="47"/>
        <v>57.099999999999966</v>
      </c>
      <c r="CV23" s="43">
        <f t="shared" si="47"/>
        <v>27.099999999999966</v>
      </c>
      <c r="CW23" s="43">
        <f t="shared" si="47"/>
        <v>27.099999999999966</v>
      </c>
      <c r="CX23" s="43">
        <f t="shared" si="47"/>
        <v>27.099999999999966</v>
      </c>
      <c r="CY23" s="43">
        <f t="shared" si="47"/>
        <v>27.099999999999966</v>
      </c>
      <c r="CZ23" s="43">
        <f t="shared" si="47"/>
        <v>2.4999999999999645</v>
      </c>
      <c r="DA23" s="43">
        <f t="shared" si="47"/>
        <v>223.09999999999997</v>
      </c>
      <c r="DB23" s="43">
        <f t="shared" si="47"/>
        <v>163.09999999999997</v>
      </c>
      <c r="DC23" s="43">
        <f t="shared" si="47"/>
        <v>163.09999999999997</v>
      </c>
      <c r="DD23" s="43">
        <f t="shared" si="47"/>
        <v>2.4999999999999716</v>
      </c>
      <c r="DE23" s="43">
        <f t="shared" si="47"/>
        <v>47.39999999999997</v>
      </c>
      <c r="DF23" s="43">
        <f t="shared" si="47"/>
        <v>322.9</v>
      </c>
      <c r="DG23" s="43">
        <f t="shared" si="47"/>
        <v>264</v>
      </c>
      <c r="DH23" s="43">
        <f t="shared" si="47"/>
        <v>204</v>
      </c>
      <c r="DI23" s="43">
        <f t="shared" si="47"/>
        <v>204</v>
      </c>
      <c r="DJ23" s="43">
        <f t="shared" si="47"/>
        <v>204</v>
      </c>
      <c r="DK23" s="43">
        <f t="shared" si="47"/>
        <v>334.99999999999994</v>
      </c>
      <c r="DL23" s="43">
        <f t="shared" si="47"/>
        <v>334.99999999999994</v>
      </c>
      <c r="DM23" s="43">
        <f t="shared" si="47"/>
        <v>334.99999999999994</v>
      </c>
      <c r="DN23" s="43">
        <f t="shared" si="47"/>
        <v>334.99999999999994</v>
      </c>
      <c r="DO23" s="43">
        <f t="shared" si="47"/>
        <v>334.99999999999994</v>
      </c>
      <c r="DP23" s="44">
        <f t="shared" si="47"/>
        <v>102.59999999999994</v>
      </c>
      <c r="DQ23" s="44">
        <f t="shared" si="47"/>
        <v>82.59999999999994</v>
      </c>
      <c r="DR23" s="44">
        <f t="shared" si="47"/>
        <v>57.59999999999994</v>
      </c>
      <c r="DS23" s="44">
        <f t="shared" si="47"/>
        <v>162.79999999999993</v>
      </c>
      <c r="DT23" s="44">
        <f t="shared" si="47"/>
        <v>112.79999999999993</v>
      </c>
      <c r="DU23" s="43">
        <f t="shared" si="47"/>
        <v>112.79999999999993</v>
      </c>
      <c r="DV23" s="43">
        <f t="shared" si="47"/>
        <v>-0.8000000000000682</v>
      </c>
      <c r="DW23" s="43">
        <f t="shared" si="47"/>
        <v>219.69999999999993</v>
      </c>
      <c r="DX23" s="43">
        <f t="shared" si="47"/>
        <v>179.69999999999993</v>
      </c>
      <c r="DY23" s="43">
        <f t="shared" si="47"/>
        <v>139.69999999999993</v>
      </c>
      <c r="DZ23" s="43">
        <f t="shared" si="47"/>
        <v>99.69999999999993</v>
      </c>
      <c r="EA23" s="43">
        <f t="shared" si="47"/>
        <v>99.69999999999993</v>
      </c>
      <c r="EB23" s="43">
        <f t="shared" si="47"/>
        <v>281.7999999999999</v>
      </c>
      <c r="EC23" s="43">
        <f t="shared" si="47"/>
        <v>281.7999999999999</v>
      </c>
      <c r="ED23" s="43">
        <f aca="true" t="shared" si="48" ref="ED23:GO23">ED22-ED21</f>
        <v>241.7999999999999</v>
      </c>
      <c r="EE23" s="43">
        <f t="shared" si="48"/>
        <v>201.7999999999999</v>
      </c>
      <c r="EF23" s="43">
        <f t="shared" si="48"/>
        <v>161.7999999999999</v>
      </c>
      <c r="EG23" s="43">
        <f t="shared" si="48"/>
        <v>161.7999999999999</v>
      </c>
      <c r="EH23" s="43">
        <f t="shared" si="48"/>
        <v>121.7999999999999</v>
      </c>
      <c r="EI23" s="43">
        <f t="shared" si="48"/>
        <v>121.7999999999999</v>
      </c>
      <c r="EJ23" s="43">
        <f t="shared" si="48"/>
        <v>170.9999999999999</v>
      </c>
      <c r="EK23" s="43">
        <f t="shared" si="48"/>
        <v>170.9999999999999</v>
      </c>
      <c r="EL23" s="43">
        <f t="shared" si="48"/>
        <v>170.9999999999999</v>
      </c>
      <c r="EM23" s="43">
        <f t="shared" si="48"/>
        <v>170.9999999999999</v>
      </c>
      <c r="EN23" s="43">
        <f t="shared" si="48"/>
        <v>170.9999999999999</v>
      </c>
      <c r="EO23" s="43">
        <f t="shared" si="48"/>
        <v>170.9999999999999</v>
      </c>
      <c r="EP23" s="43">
        <f t="shared" si="48"/>
        <v>100.2999999999999</v>
      </c>
      <c r="EQ23" s="43">
        <f t="shared" si="48"/>
        <v>50.2999999999999</v>
      </c>
      <c r="ER23" s="43">
        <f t="shared" si="48"/>
        <v>50.2999999999999</v>
      </c>
      <c r="ES23" s="43">
        <f t="shared" si="48"/>
        <v>50.2999999999999</v>
      </c>
      <c r="ET23" s="43">
        <f t="shared" si="48"/>
        <v>-9.947598300641403E-14</v>
      </c>
      <c r="EU23" s="43">
        <f t="shared" si="48"/>
        <v>206.19999999999987</v>
      </c>
      <c r="EV23" s="43">
        <f t="shared" si="48"/>
        <v>166.19999999999987</v>
      </c>
      <c r="EW23" s="43">
        <f t="shared" si="48"/>
        <v>126.19999999999987</v>
      </c>
      <c r="EX23" s="43">
        <f t="shared" si="48"/>
        <v>86.19999999999987</v>
      </c>
      <c r="EY23" s="43">
        <f t="shared" si="48"/>
        <v>86.19999999999987</v>
      </c>
      <c r="EZ23" s="43">
        <f t="shared" si="48"/>
        <v>-1.2789769243681803E-13</v>
      </c>
      <c r="FA23" s="43">
        <f t="shared" si="48"/>
        <v>-1.2789769243681803E-13</v>
      </c>
      <c r="FB23" s="43">
        <f t="shared" si="48"/>
        <v>186.69999999999987</v>
      </c>
      <c r="FC23" s="43">
        <f t="shared" si="48"/>
        <v>186.69999999999987</v>
      </c>
      <c r="FD23" s="43">
        <f t="shared" si="48"/>
        <v>102.69999999999987</v>
      </c>
      <c r="FE23" s="43">
        <f t="shared" si="48"/>
        <v>102.69999999999987</v>
      </c>
      <c r="FF23" s="43">
        <f t="shared" si="48"/>
        <v>-1.2789769243681803E-13</v>
      </c>
      <c r="FG23" s="43">
        <f t="shared" si="48"/>
        <v>-1.2789769243681803E-13</v>
      </c>
      <c r="FH23" s="43">
        <f t="shared" si="48"/>
        <v>-1.2789769243681803E-13</v>
      </c>
      <c r="FI23" s="43">
        <f t="shared" si="48"/>
        <v>-1.2789769243681803E-13</v>
      </c>
      <c r="FJ23" s="43">
        <f t="shared" si="48"/>
        <v>-1.2789769243681803E-13</v>
      </c>
      <c r="FK23" s="43">
        <f t="shared" si="48"/>
        <v>-1.2789769243681803E-13</v>
      </c>
      <c r="FL23" s="43">
        <f t="shared" si="48"/>
        <v>267.1999999999999</v>
      </c>
      <c r="FM23" s="43">
        <f t="shared" si="48"/>
        <v>267.1999999999999</v>
      </c>
      <c r="FN23" s="43">
        <f t="shared" si="48"/>
        <v>267.1999999999999</v>
      </c>
      <c r="FO23" s="43">
        <f t="shared" si="48"/>
        <v>267.1999999999999</v>
      </c>
      <c r="FP23" s="43">
        <f t="shared" si="48"/>
        <v>267.1999999999999</v>
      </c>
      <c r="FQ23" s="43">
        <f t="shared" si="48"/>
        <v>267.1999999999999</v>
      </c>
      <c r="FR23" s="43">
        <f t="shared" si="48"/>
        <v>47.199999999999875</v>
      </c>
      <c r="FS23" s="43">
        <f t="shared" si="48"/>
        <v>148.9999999999999</v>
      </c>
      <c r="FT23" s="43">
        <f t="shared" si="48"/>
        <v>148.9999999999999</v>
      </c>
      <c r="FU23" s="43">
        <f t="shared" si="48"/>
        <v>148.9999999999999</v>
      </c>
      <c r="FV23" s="43">
        <f t="shared" si="48"/>
        <v>148.9999999999999</v>
      </c>
      <c r="FW23" s="43">
        <f t="shared" si="48"/>
        <v>148.9999999999999</v>
      </c>
      <c r="FX23" s="43">
        <f t="shared" si="48"/>
        <v>0</v>
      </c>
      <c r="FY23" s="43">
        <f t="shared" si="48"/>
        <v>0</v>
      </c>
      <c r="FZ23" s="43">
        <f t="shared" si="48"/>
        <v>0</v>
      </c>
      <c r="GA23" s="43">
        <f t="shared" si="48"/>
        <v>0</v>
      </c>
      <c r="GB23" s="43">
        <f t="shared" si="48"/>
        <v>0</v>
      </c>
      <c r="GC23" s="43">
        <f t="shared" si="48"/>
        <v>0</v>
      </c>
      <c r="GD23" s="43">
        <f t="shared" si="48"/>
        <v>0</v>
      </c>
      <c r="GE23" s="43">
        <f t="shared" si="48"/>
        <v>0</v>
      </c>
      <c r="GF23" s="43">
        <f t="shared" si="48"/>
        <v>0</v>
      </c>
      <c r="GG23" s="43">
        <f t="shared" si="48"/>
        <v>0</v>
      </c>
      <c r="GH23" s="43">
        <f t="shared" si="48"/>
        <v>0</v>
      </c>
      <c r="GI23" s="43">
        <f t="shared" si="48"/>
        <v>0</v>
      </c>
      <c r="GJ23" s="43">
        <f t="shared" si="48"/>
        <v>0</v>
      </c>
      <c r="GK23" s="43">
        <f t="shared" si="48"/>
        <v>0</v>
      </c>
      <c r="GL23" s="43">
        <f t="shared" si="48"/>
        <v>0</v>
      </c>
      <c r="GM23" s="43">
        <f t="shared" si="48"/>
        <v>0</v>
      </c>
      <c r="GN23" s="43">
        <f t="shared" si="48"/>
        <v>0</v>
      </c>
      <c r="GO23" s="43">
        <f t="shared" si="48"/>
        <v>0</v>
      </c>
    </row>
    <row r="24" spans="1:256" s="9" customFormat="1" ht="15">
      <c r="A24" s="46" t="s">
        <v>225</v>
      </c>
      <c r="B24" s="47">
        <v>25</v>
      </c>
      <c r="C24" s="12" t="s">
        <v>216</v>
      </c>
      <c r="O24" s="29"/>
      <c r="R24" s="19">
        <v>50</v>
      </c>
      <c r="X24" s="29"/>
      <c r="Y24" s="19">
        <v>30</v>
      </c>
      <c r="AA24" s="29"/>
      <c r="AD24" s="19">
        <v>35</v>
      </c>
      <c r="AE24" s="29"/>
      <c r="AP24" s="19">
        <v>50</v>
      </c>
      <c r="AV24" s="30">
        <v>35</v>
      </c>
      <c r="BC24" s="30">
        <v>25</v>
      </c>
      <c r="BP24" s="19">
        <v>73.6</v>
      </c>
      <c r="BT24" s="31"/>
      <c r="BU24" s="31"/>
      <c r="BV24" s="31"/>
      <c r="BW24" s="30">
        <v>25</v>
      </c>
      <c r="CA24" s="30">
        <v>28.8</v>
      </c>
      <c r="CH24" s="30">
        <v>20</v>
      </c>
      <c r="CS24" s="30">
        <v>24.7</v>
      </c>
      <c r="DA24" s="30">
        <v>25</v>
      </c>
      <c r="DE24" s="30">
        <v>35</v>
      </c>
      <c r="DP24" s="29"/>
      <c r="DQ24" s="19">
        <v>50</v>
      </c>
      <c r="DR24" s="30">
        <v>25</v>
      </c>
      <c r="DS24" s="29"/>
      <c r="DT24" s="29"/>
      <c r="DW24" s="30">
        <v>30</v>
      </c>
      <c r="DY24" s="30">
        <v>20</v>
      </c>
      <c r="EB24" s="30">
        <v>20</v>
      </c>
      <c r="EC24" s="30">
        <v>22</v>
      </c>
      <c r="EH24" s="19">
        <v>45</v>
      </c>
      <c r="EI24" s="19">
        <v>60</v>
      </c>
      <c r="EJ24" s="9">
        <v>60</v>
      </c>
      <c r="EK24" s="9">
        <v>35</v>
      </c>
      <c r="EP24" s="19">
        <v>13.2</v>
      </c>
      <c r="FA24" s="30">
        <v>11.6</v>
      </c>
      <c r="FR24" s="9">
        <v>32.9</v>
      </c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197" s="42" customFormat="1" ht="15">
      <c r="A25" s="32"/>
      <c r="B25" s="28"/>
      <c r="C25" s="24" t="s">
        <v>217</v>
      </c>
      <c r="D25" s="25">
        <v>77.9</v>
      </c>
      <c r="E25" s="25">
        <f>D26</f>
        <v>77.9</v>
      </c>
      <c r="F25" s="25">
        <f aca="true" t="shared" si="49" ref="F25:BQ25">E26</f>
        <v>77.9</v>
      </c>
      <c r="G25" s="25">
        <f>F26+18.7</f>
        <v>96.60000000000001</v>
      </c>
      <c r="H25" s="25">
        <f t="shared" si="49"/>
        <v>96.60000000000001</v>
      </c>
      <c r="I25" s="25">
        <f t="shared" si="49"/>
        <v>96.60000000000001</v>
      </c>
      <c r="J25" s="25">
        <f t="shared" si="49"/>
        <v>96.60000000000001</v>
      </c>
      <c r="K25" s="25">
        <f t="shared" si="49"/>
        <v>96.60000000000001</v>
      </c>
      <c r="L25" s="25">
        <f>K26+28.4</f>
        <v>125</v>
      </c>
      <c r="M25" s="25">
        <f>L26+23.8</f>
        <v>148.8</v>
      </c>
      <c r="N25" s="25">
        <f t="shared" si="49"/>
        <v>148.8</v>
      </c>
      <c r="O25" s="37">
        <f t="shared" si="49"/>
        <v>148.8</v>
      </c>
      <c r="P25" s="25">
        <f t="shared" si="49"/>
        <v>148.8</v>
      </c>
      <c r="Q25" s="25">
        <f t="shared" si="49"/>
        <v>148.8</v>
      </c>
      <c r="R25" s="25">
        <f t="shared" si="49"/>
        <v>148.8</v>
      </c>
      <c r="S25" s="25">
        <f>R26+32.3</f>
        <v>131.10000000000002</v>
      </c>
      <c r="T25" s="25">
        <f t="shared" si="49"/>
        <v>131.10000000000002</v>
      </c>
      <c r="U25" s="25">
        <f t="shared" si="49"/>
        <v>131.10000000000002</v>
      </c>
      <c r="V25" s="25">
        <f t="shared" si="49"/>
        <v>131.10000000000002</v>
      </c>
      <c r="W25" s="25">
        <f t="shared" si="49"/>
        <v>131.10000000000002</v>
      </c>
      <c r="X25" s="37">
        <f t="shared" si="49"/>
        <v>131.10000000000002</v>
      </c>
      <c r="Y25" s="25">
        <f>X26+7.6</f>
        <v>138.70000000000002</v>
      </c>
      <c r="Z25" s="25">
        <f t="shared" si="49"/>
        <v>108.70000000000002</v>
      </c>
      <c r="AA25" s="37">
        <f t="shared" si="49"/>
        <v>108.70000000000002</v>
      </c>
      <c r="AB25" s="25">
        <f t="shared" si="49"/>
        <v>108.70000000000002</v>
      </c>
      <c r="AC25" s="25">
        <f t="shared" si="49"/>
        <v>108.70000000000002</v>
      </c>
      <c r="AD25" s="37">
        <f>AC26</f>
        <v>108.70000000000002</v>
      </c>
      <c r="AE25" s="37">
        <f>AD26+18.2</f>
        <v>91.90000000000002</v>
      </c>
      <c r="AF25" s="25">
        <f t="shared" si="49"/>
        <v>91.90000000000002</v>
      </c>
      <c r="AG25" s="25">
        <f t="shared" si="49"/>
        <v>91.90000000000002</v>
      </c>
      <c r="AH25" s="25">
        <f t="shared" si="49"/>
        <v>91.90000000000002</v>
      </c>
      <c r="AI25" s="25">
        <f t="shared" si="49"/>
        <v>91.90000000000002</v>
      </c>
      <c r="AJ25" s="25">
        <f>AI26+28.2</f>
        <v>120.10000000000002</v>
      </c>
      <c r="AK25" s="25">
        <f>AJ26+14.8</f>
        <v>134.90000000000003</v>
      </c>
      <c r="AL25" s="25">
        <f t="shared" si="49"/>
        <v>134.90000000000003</v>
      </c>
      <c r="AM25" s="25">
        <f t="shared" si="49"/>
        <v>134.90000000000003</v>
      </c>
      <c r="AN25" s="25">
        <f t="shared" si="49"/>
        <v>134.90000000000003</v>
      </c>
      <c r="AO25" s="25">
        <f t="shared" si="49"/>
        <v>134.90000000000003</v>
      </c>
      <c r="AP25" s="25">
        <f>AO26+17</f>
        <v>151.90000000000003</v>
      </c>
      <c r="AQ25" s="25">
        <f>AP26+20</f>
        <v>121.90000000000003</v>
      </c>
      <c r="AR25" s="25">
        <f t="shared" si="49"/>
        <v>121.90000000000003</v>
      </c>
      <c r="AS25" s="25">
        <f t="shared" si="49"/>
        <v>121.90000000000003</v>
      </c>
      <c r="AT25" s="25">
        <f t="shared" si="49"/>
        <v>121.90000000000003</v>
      </c>
      <c r="AU25" s="25">
        <f t="shared" si="49"/>
        <v>121.90000000000003</v>
      </c>
      <c r="AV25" s="25">
        <f t="shared" si="49"/>
        <v>121.90000000000003</v>
      </c>
      <c r="AW25" s="25">
        <f t="shared" si="49"/>
        <v>86.90000000000003</v>
      </c>
      <c r="AX25" s="25">
        <f t="shared" si="49"/>
        <v>86.90000000000003</v>
      </c>
      <c r="AY25" s="25">
        <f t="shared" si="49"/>
        <v>86.90000000000003</v>
      </c>
      <c r="AZ25" s="25">
        <f t="shared" si="49"/>
        <v>86.90000000000003</v>
      </c>
      <c r="BA25" s="25">
        <f t="shared" si="49"/>
        <v>86.90000000000003</v>
      </c>
      <c r="BB25" s="25">
        <f t="shared" si="49"/>
        <v>86.90000000000003</v>
      </c>
      <c r="BC25" s="25">
        <f>BB26+33.3</f>
        <v>120.20000000000003</v>
      </c>
      <c r="BD25" s="25">
        <f t="shared" si="49"/>
        <v>95.20000000000003</v>
      </c>
      <c r="BE25" s="25">
        <f t="shared" si="49"/>
        <v>95.20000000000003</v>
      </c>
      <c r="BF25" s="25">
        <f t="shared" si="49"/>
        <v>95.20000000000003</v>
      </c>
      <c r="BG25" s="25">
        <f t="shared" si="49"/>
        <v>95.20000000000003</v>
      </c>
      <c r="BH25" s="25">
        <f t="shared" si="49"/>
        <v>95.20000000000003</v>
      </c>
      <c r="BI25" s="25">
        <f t="shared" si="49"/>
        <v>95.20000000000003</v>
      </c>
      <c r="BJ25" s="25">
        <f>BI26+20.7</f>
        <v>115.90000000000003</v>
      </c>
      <c r="BK25" s="25">
        <f t="shared" si="49"/>
        <v>115.90000000000003</v>
      </c>
      <c r="BL25" s="25">
        <f t="shared" si="49"/>
        <v>115.90000000000003</v>
      </c>
      <c r="BM25" s="25">
        <f t="shared" si="49"/>
        <v>115.90000000000003</v>
      </c>
      <c r="BN25" s="25">
        <f t="shared" si="49"/>
        <v>115.90000000000003</v>
      </c>
      <c r="BO25" s="25">
        <f>BN26+36.1</f>
        <v>152.00000000000003</v>
      </c>
      <c r="BP25" s="25">
        <f t="shared" si="49"/>
        <v>152.00000000000003</v>
      </c>
      <c r="BQ25" s="25">
        <f t="shared" si="49"/>
        <v>78.40000000000003</v>
      </c>
      <c r="BR25" s="25">
        <f aca="true" t="shared" si="50" ref="BR25:EC25">BQ26</f>
        <v>78.40000000000003</v>
      </c>
      <c r="BS25" s="25">
        <f t="shared" si="50"/>
        <v>78.40000000000003</v>
      </c>
      <c r="BT25" s="40">
        <f>BS26+27.2</f>
        <v>105.60000000000004</v>
      </c>
      <c r="BU25" s="40">
        <f>BT26+14.6</f>
        <v>120.20000000000003</v>
      </c>
      <c r="BV25" s="40">
        <f t="shared" si="50"/>
        <v>120.20000000000003</v>
      </c>
      <c r="BW25" s="25">
        <f t="shared" si="50"/>
        <v>120.20000000000003</v>
      </c>
      <c r="BX25" s="25">
        <f t="shared" si="50"/>
        <v>95.20000000000003</v>
      </c>
      <c r="BY25" s="25">
        <f t="shared" si="50"/>
        <v>95.20000000000003</v>
      </c>
      <c r="BZ25" s="25">
        <f t="shared" si="50"/>
        <v>95.20000000000003</v>
      </c>
      <c r="CA25" s="25">
        <f>BZ26+25.1</f>
        <v>120.30000000000004</v>
      </c>
      <c r="CB25" s="25">
        <f t="shared" si="50"/>
        <v>91.50000000000004</v>
      </c>
      <c r="CC25" s="25">
        <f t="shared" si="50"/>
        <v>91.50000000000004</v>
      </c>
      <c r="CD25" s="25">
        <f t="shared" si="50"/>
        <v>91.50000000000004</v>
      </c>
      <c r="CE25" s="25">
        <f t="shared" si="50"/>
        <v>91.50000000000004</v>
      </c>
      <c r="CF25" s="25">
        <f t="shared" si="50"/>
        <v>91.50000000000004</v>
      </c>
      <c r="CG25" s="25">
        <f t="shared" si="50"/>
        <v>91.50000000000004</v>
      </c>
      <c r="CH25" s="25">
        <f>CG26+16.5</f>
        <v>108.00000000000004</v>
      </c>
      <c r="CI25" s="25">
        <f t="shared" si="50"/>
        <v>88.00000000000004</v>
      </c>
      <c r="CJ25" s="25">
        <f t="shared" si="50"/>
        <v>88.00000000000004</v>
      </c>
      <c r="CK25" s="25">
        <f t="shared" si="50"/>
        <v>88.00000000000004</v>
      </c>
      <c r="CL25" s="25">
        <f t="shared" si="50"/>
        <v>88.00000000000004</v>
      </c>
      <c r="CM25" s="25">
        <f>CL26+13.6</f>
        <v>101.60000000000004</v>
      </c>
      <c r="CN25" s="25">
        <f t="shared" si="50"/>
        <v>101.60000000000004</v>
      </c>
      <c r="CO25" s="25">
        <f t="shared" si="50"/>
        <v>101.60000000000004</v>
      </c>
      <c r="CP25" s="25">
        <f t="shared" si="50"/>
        <v>101.60000000000004</v>
      </c>
      <c r="CQ25" s="25">
        <f t="shared" si="50"/>
        <v>101.60000000000004</v>
      </c>
      <c r="CR25" s="25">
        <f>CQ26+27.1</f>
        <v>128.70000000000005</v>
      </c>
      <c r="CS25" s="25">
        <f>CR26+14.9</f>
        <v>143.60000000000005</v>
      </c>
      <c r="CT25" s="25">
        <f t="shared" si="50"/>
        <v>118.90000000000005</v>
      </c>
      <c r="CU25" s="25">
        <f t="shared" si="50"/>
        <v>118.90000000000005</v>
      </c>
      <c r="CV25" s="25">
        <f t="shared" si="50"/>
        <v>118.90000000000005</v>
      </c>
      <c r="CW25" s="25">
        <f t="shared" si="50"/>
        <v>118.90000000000005</v>
      </c>
      <c r="CX25" s="25">
        <f>CW26+30.3+2.5+1.3</f>
        <v>153.00000000000006</v>
      </c>
      <c r="CY25" s="25">
        <f t="shared" si="50"/>
        <v>153.00000000000006</v>
      </c>
      <c r="CZ25" s="25">
        <f>CY26+2.1</f>
        <v>155.10000000000005</v>
      </c>
      <c r="DA25" s="25">
        <f t="shared" si="50"/>
        <v>155.10000000000005</v>
      </c>
      <c r="DB25" s="25">
        <f t="shared" si="50"/>
        <v>130.10000000000005</v>
      </c>
      <c r="DC25" s="25">
        <f t="shared" si="50"/>
        <v>130.10000000000005</v>
      </c>
      <c r="DD25" s="25">
        <f>DC26+1.5</f>
        <v>131.60000000000005</v>
      </c>
      <c r="DE25" s="25">
        <f>DD26+34.6+2.4</f>
        <v>168.60000000000005</v>
      </c>
      <c r="DF25" s="25">
        <f>DE26+2.3</f>
        <v>135.90000000000006</v>
      </c>
      <c r="DG25" s="25">
        <f t="shared" si="50"/>
        <v>135.90000000000006</v>
      </c>
      <c r="DH25" s="25">
        <f t="shared" si="50"/>
        <v>135.90000000000006</v>
      </c>
      <c r="DI25" s="25">
        <f t="shared" si="50"/>
        <v>135.90000000000006</v>
      </c>
      <c r="DJ25" s="25">
        <f t="shared" si="50"/>
        <v>135.90000000000006</v>
      </c>
      <c r="DK25" s="25">
        <f>DJ26+1.4+20+31.4</f>
        <v>188.70000000000007</v>
      </c>
      <c r="DL25" s="25">
        <f t="shared" si="50"/>
        <v>188.70000000000007</v>
      </c>
      <c r="DM25" s="25">
        <f t="shared" si="50"/>
        <v>188.70000000000007</v>
      </c>
      <c r="DN25" s="25">
        <f t="shared" si="50"/>
        <v>188.70000000000007</v>
      </c>
      <c r="DO25" s="25">
        <f t="shared" si="50"/>
        <v>188.70000000000007</v>
      </c>
      <c r="DP25" s="37">
        <f>DO26+2.1</f>
        <v>190.80000000000007</v>
      </c>
      <c r="DQ25" s="37">
        <f t="shared" si="50"/>
        <v>190.80000000000007</v>
      </c>
      <c r="DR25" s="37">
        <f>DQ26+46+3.7+4.8</f>
        <v>195.30000000000007</v>
      </c>
      <c r="DS25" s="37">
        <f t="shared" si="50"/>
        <v>170.30000000000007</v>
      </c>
      <c r="DT25" s="37">
        <f t="shared" si="50"/>
        <v>170.30000000000007</v>
      </c>
      <c r="DU25" s="25">
        <f>DT26+6.8+1.1</f>
        <v>178.20000000000007</v>
      </c>
      <c r="DV25" s="25">
        <f t="shared" si="50"/>
        <v>178.20000000000007</v>
      </c>
      <c r="DW25" s="25">
        <f>DV26+4.3+12.9</f>
        <v>195.4000000000001</v>
      </c>
      <c r="DX25" s="25">
        <f t="shared" si="50"/>
        <v>165.4000000000001</v>
      </c>
      <c r="DY25" s="25">
        <f t="shared" si="50"/>
        <v>165.4000000000001</v>
      </c>
      <c r="DZ25" s="25">
        <f t="shared" si="50"/>
        <v>145.4000000000001</v>
      </c>
      <c r="EA25" s="25">
        <f>DZ26+1.7</f>
        <v>147.10000000000008</v>
      </c>
      <c r="EB25" s="25">
        <f>EA26+4.9+16.2</f>
        <v>168.20000000000007</v>
      </c>
      <c r="EC25" s="25">
        <f t="shared" si="50"/>
        <v>148.20000000000007</v>
      </c>
      <c r="ED25" s="25">
        <f aca="true" t="shared" si="51" ref="ED25:GO25">EC26</f>
        <v>126.20000000000007</v>
      </c>
      <c r="EE25" s="25">
        <f>ED26+12.2</f>
        <v>138.40000000000006</v>
      </c>
      <c r="EF25" s="25">
        <f t="shared" si="51"/>
        <v>138.40000000000006</v>
      </c>
      <c r="EG25" s="25">
        <f t="shared" si="51"/>
        <v>138.40000000000006</v>
      </c>
      <c r="EH25" s="25">
        <f>EG26+21.4+0.7+2.3</f>
        <v>162.80000000000007</v>
      </c>
      <c r="EI25" s="25">
        <f t="shared" si="51"/>
        <v>117.80000000000007</v>
      </c>
      <c r="EJ25" s="25">
        <f t="shared" si="51"/>
        <v>57.80000000000007</v>
      </c>
      <c r="EK25" s="25">
        <f t="shared" si="51"/>
        <v>-2.199999999999932</v>
      </c>
      <c r="EL25" s="25">
        <f t="shared" si="51"/>
        <v>-37.19999999999993</v>
      </c>
      <c r="EM25" s="25">
        <f t="shared" si="51"/>
        <v>-37.19999999999993</v>
      </c>
      <c r="EN25" s="25">
        <f>EM26+30.4+2.6+15.1+2.3</f>
        <v>13.200000000000067</v>
      </c>
      <c r="EO25" s="25">
        <f t="shared" si="51"/>
        <v>13.200000000000067</v>
      </c>
      <c r="EP25" s="25">
        <f t="shared" si="51"/>
        <v>13.200000000000067</v>
      </c>
      <c r="EQ25" s="25">
        <f t="shared" si="51"/>
        <v>6.750155989720952E-14</v>
      </c>
      <c r="ER25" s="25">
        <f>EQ26</f>
        <v>6.750155989720952E-14</v>
      </c>
      <c r="ES25" s="25">
        <f>ER26</f>
        <v>6.750155989720952E-14</v>
      </c>
      <c r="ET25" s="25">
        <f>ES26</f>
        <v>6.750155989720952E-14</v>
      </c>
      <c r="EU25" s="25">
        <f t="shared" si="51"/>
        <v>6.750155989720952E-14</v>
      </c>
      <c r="EV25" s="48">
        <f>EU26+11.6</f>
        <v>11.600000000000067</v>
      </c>
      <c r="EW25" s="25">
        <f t="shared" si="51"/>
        <v>11.600000000000067</v>
      </c>
      <c r="EX25" s="25">
        <f t="shared" si="51"/>
        <v>11.600000000000067</v>
      </c>
      <c r="EY25" s="25">
        <f t="shared" si="51"/>
        <v>11.600000000000067</v>
      </c>
      <c r="EZ25" s="25">
        <f t="shared" si="51"/>
        <v>11.600000000000067</v>
      </c>
      <c r="FA25" s="25">
        <f t="shared" si="51"/>
        <v>11.600000000000067</v>
      </c>
      <c r="FB25" s="25">
        <f t="shared" si="51"/>
        <v>6.750155989720952E-14</v>
      </c>
      <c r="FC25" s="25">
        <f t="shared" si="51"/>
        <v>6.750155989720952E-14</v>
      </c>
      <c r="FD25" s="25">
        <f>FC26</f>
        <v>6.750155989720952E-14</v>
      </c>
      <c r="FE25" s="25">
        <f t="shared" si="51"/>
        <v>6.750155989720952E-14</v>
      </c>
      <c r="FF25" s="25">
        <f t="shared" si="51"/>
        <v>6.750155989720952E-14</v>
      </c>
      <c r="FG25" s="25">
        <f t="shared" si="51"/>
        <v>6.750155989720952E-14</v>
      </c>
      <c r="FH25" s="25">
        <f t="shared" si="51"/>
        <v>6.750155989720952E-14</v>
      </c>
      <c r="FI25" s="25">
        <f>FH26+3.2+29.7</f>
        <v>32.90000000000007</v>
      </c>
      <c r="FJ25" s="25">
        <f t="shared" si="51"/>
        <v>32.90000000000007</v>
      </c>
      <c r="FK25" s="25">
        <f t="shared" si="51"/>
        <v>32.90000000000007</v>
      </c>
      <c r="FL25" s="25">
        <f t="shared" si="51"/>
        <v>32.90000000000007</v>
      </c>
      <c r="FM25" s="25">
        <f t="shared" si="51"/>
        <v>32.90000000000007</v>
      </c>
      <c r="FN25" s="25">
        <f t="shared" si="51"/>
        <v>32.90000000000007</v>
      </c>
      <c r="FO25" s="25">
        <f t="shared" si="51"/>
        <v>32.90000000000007</v>
      </c>
      <c r="FP25" s="25">
        <f t="shared" si="51"/>
        <v>32.90000000000007</v>
      </c>
      <c r="FQ25" s="25">
        <f t="shared" si="51"/>
        <v>32.90000000000007</v>
      </c>
      <c r="FR25" s="25">
        <f t="shared" si="51"/>
        <v>32.90000000000007</v>
      </c>
      <c r="FS25" s="25">
        <f t="shared" si="51"/>
        <v>7.105427357601002E-14</v>
      </c>
      <c r="FT25" s="25">
        <f t="shared" si="51"/>
        <v>7.105427357601002E-14</v>
      </c>
      <c r="FU25" s="25">
        <f t="shared" si="51"/>
        <v>7.105427357601002E-14</v>
      </c>
      <c r="FV25" s="25">
        <f t="shared" si="51"/>
        <v>7.105427357601002E-14</v>
      </c>
      <c r="FW25" s="25">
        <f t="shared" si="51"/>
        <v>7.105427357601002E-14</v>
      </c>
      <c r="FX25" s="25">
        <f t="shared" si="51"/>
        <v>7.105427357601002E-14</v>
      </c>
      <c r="FY25" s="25">
        <f t="shared" si="51"/>
        <v>7.105427357601002E-14</v>
      </c>
      <c r="FZ25" s="25">
        <f t="shared" si="51"/>
        <v>7.105427357601002E-14</v>
      </c>
      <c r="GA25" s="25">
        <f t="shared" si="51"/>
        <v>7.105427357601002E-14</v>
      </c>
      <c r="GB25" s="25">
        <f t="shared" si="51"/>
        <v>7.105427357601002E-14</v>
      </c>
      <c r="GC25" s="25">
        <f t="shared" si="51"/>
        <v>7.105427357601002E-14</v>
      </c>
      <c r="GD25" s="25">
        <f t="shared" si="51"/>
        <v>7.105427357601002E-14</v>
      </c>
      <c r="GE25" s="25">
        <f t="shared" si="51"/>
        <v>7.105427357601002E-14</v>
      </c>
      <c r="GF25" s="25">
        <f t="shared" si="51"/>
        <v>7.105427357601002E-14</v>
      </c>
      <c r="GG25" s="25">
        <f t="shared" si="51"/>
        <v>7.105427357601002E-14</v>
      </c>
      <c r="GH25" s="25">
        <f t="shared" si="51"/>
        <v>7.105427357601002E-14</v>
      </c>
      <c r="GI25" s="25">
        <f t="shared" si="51"/>
        <v>7.105427357601002E-14</v>
      </c>
      <c r="GJ25" s="25">
        <f t="shared" si="51"/>
        <v>7.105427357601002E-14</v>
      </c>
      <c r="GK25" s="25">
        <f t="shared" si="51"/>
        <v>7.105427357601002E-14</v>
      </c>
      <c r="GL25" s="25">
        <f t="shared" si="51"/>
        <v>7.105427357601002E-14</v>
      </c>
      <c r="GM25" s="25">
        <f t="shared" si="51"/>
        <v>7.105427357601002E-14</v>
      </c>
      <c r="GN25" s="25">
        <f t="shared" si="51"/>
        <v>7.105427357601002E-14</v>
      </c>
      <c r="GO25" s="25">
        <f t="shared" si="51"/>
        <v>7.105427357601002E-14</v>
      </c>
    </row>
    <row r="26" spans="1:197" s="42" customFormat="1" ht="15">
      <c r="A26" s="32"/>
      <c r="B26" s="28"/>
      <c r="C26" s="24" t="s">
        <v>218</v>
      </c>
      <c r="D26" s="43">
        <f>D25-D24</f>
        <v>77.9</v>
      </c>
      <c r="E26" s="43">
        <f>E25-E24</f>
        <v>77.9</v>
      </c>
      <c r="F26" s="43">
        <f aca="true" t="shared" si="52" ref="F26:BQ26">F25-F24</f>
        <v>77.9</v>
      </c>
      <c r="G26" s="43">
        <f t="shared" si="52"/>
        <v>96.60000000000001</v>
      </c>
      <c r="H26" s="43">
        <f t="shared" si="52"/>
        <v>96.60000000000001</v>
      </c>
      <c r="I26" s="43">
        <f t="shared" si="52"/>
        <v>96.60000000000001</v>
      </c>
      <c r="J26" s="43">
        <f t="shared" si="52"/>
        <v>96.60000000000001</v>
      </c>
      <c r="K26" s="43">
        <f t="shared" si="52"/>
        <v>96.60000000000001</v>
      </c>
      <c r="L26" s="43">
        <f t="shared" si="52"/>
        <v>125</v>
      </c>
      <c r="M26" s="43">
        <f t="shared" si="52"/>
        <v>148.8</v>
      </c>
      <c r="N26" s="43">
        <f t="shared" si="52"/>
        <v>148.8</v>
      </c>
      <c r="O26" s="44">
        <f t="shared" si="52"/>
        <v>148.8</v>
      </c>
      <c r="P26" s="43">
        <f t="shared" si="52"/>
        <v>148.8</v>
      </c>
      <c r="Q26" s="43">
        <f t="shared" si="52"/>
        <v>148.8</v>
      </c>
      <c r="R26" s="43">
        <f t="shared" si="52"/>
        <v>98.80000000000001</v>
      </c>
      <c r="S26" s="43">
        <f t="shared" si="52"/>
        <v>131.10000000000002</v>
      </c>
      <c r="T26" s="43">
        <f t="shared" si="52"/>
        <v>131.10000000000002</v>
      </c>
      <c r="U26" s="43">
        <f t="shared" si="52"/>
        <v>131.10000000000002</v>
      </c>
      <c r="V26" s="43">
        <f t="shared" si="52"/>
        <v>131.10000000000002</v>
      </c>
      <c r="W26" s="43">
        <f t="shared" si="52"/>
        <v>131.10000000000002</v>
      </c>
      <c r="X26" s="44">
        <f t="shared" si="52"/>
        <v>131.10000000000002</v>
      </c>
      <c r="Y26" s="43">
        <f t="shared" si="52"/>
        <v>108.70000000000002</v>
      </c>
      <c r="Z26" s="43">
        <f t="shared" si="52"/>
        <v>108.70000000000002</v>
      </c>
      <c r="AA26" s="44">
        <f t="shared" si="52"/>
        <v>108.70000000000002</v>
      </c>
      <c r="AB26" s="43">
        <f t="shared" si="52"/>
        <v>108.70000000000002</v>
      </c>
      <c r="AC26" s="43">
        <f t="shared" si="52"/>
        <v>108.70000000000002</v>
      </c>
      <c r="AD26" s="44">
        <f t="shared" si="52"/>
        <v>73.70000000000002</v>
      </c>
      <c r="AE26" s="44">
        <f t="shared" si="52"/>
        <v>91.90000000000002</v>
      </c>
      <c r="AF26" s="43">
        <f t="shared" si="52"/>
        <v>91.90000000000002</v>
      </c>
      <c r="AG26" s="43">
        <f t="shared" si="52"/>
        <v>91.90000000000002</v>
      </c>
      <c r="AH26" s="43">
        <f t="shared" si="52"/>
        <v>91.90000000000002</v>
      </c>
      <c r="AI26" s="43">
        <f t="shared" si="52"/>
        <v>91.90000000000002</v>
      </c>
      <c r="AJ26" s="43">
        <f t="shared" si="52"/>
        <v>120.10000000000002</v>
      </c>
      <c r="AK26" s="43">
        <f t="shared" si="52"/>
        <v>134.90000000000003</v>
      </c>
      <c r="AL26" s="43">
        <f t="shared" si="52"/>
        <v>134.90000000000003</v>
      </c>
      <c r="AM26" s="43">
        <f t="shared" si="52"/>
        <v>134.90000000000003</v>
      </c>
      <c r="AN26" s="43">
        <f t="shared" si="52"/>
        <v>134.90000000000003</v>
      </c>
      <c r="AO26" s="43">
        <f t="shared" si="52"/>
        <v>134.90000000000003</v>
      </c>
      <c r="AP26" s="43">
        <f t="shared" si="52"/>
        <v>101.90000000000003</v>
      </c>
      <c r="AQ26" s="43">
        <f t="shared" si="52"/>
        <v>121.90000000000003</v>
      </c>
      <c r="AR26" s="43">
        <f t="shared" si="52"/>
        <v>121.90000000000003</v>
      </c>
      <c r="AS26" s="43">
        <f t="shared" si="52"/>
        <v>121.90000000000003</v>
      </c>
      <c r="AT26" s="43">
        <f t="shared" si="52"/>
        <v>121.90000000000003</v>
      </c>
      <c r="AU26" s="43">
        <f t="shared" si="52"/>
        <v>121.90000000000003</v>
      </c>
      <c r="AV26" s="43">
        <f t="shared" si="52"/>
        <v>86.90000000000003</v>
      </c>
      <c r="AW26" s="43">
        <f t="shared" si="52"/>
        <v>86.90000000000003</v>
      </c>
      <c r="AX26" s="43">
        <f t="shared" si="52"/>
        <v>86.90000000000003</v>
      </c>
      <c r="AY26" s="43">
        <f t="shared" si="52"/>
        <v>86.90000000000003</v>
      </c>
      <c r="AZ26" s="43">
        <f t="shared" si="52"/>
        <v>86.90000000000003</v>
      </c>
      <c r="BA26" s="43">
        <f t="shared" si="52"/>
        <v>86.90000000000003</v>
      </c>
      <c r="BB26" s="43">
        <f t="shared" si="52"/>
        <v>86.90000000000003</v>
      </c>
      <c r="BC26" s="43">
        <f t="shared" si="52"/>
        <v>95.20000000000003</v>
      </c>
      <c r="BD26" s="43">
        <f t="shared" si="52"/>
        <v>95.20000000000003</v>
      </c>
      <c r="BE26" s="43">
        <f t="shared" si="52"/>
        <v>95.20000000000003</v>
      </c>
      <c r="BF26" s="43">
        <f t="shared" si="52"/>
        <v>95.20000000000003</v>
      </c>
      <c r="BG26" s="43">
        <f t="shared" si="52"/>
        <v>95.20000000000003</v>
      </c>
      <c r="BH26" s="43">
        <f t="shared" si="52"/>
        <v>95.20000000000003</v>
      </c>
      <c r="BI26" s="43">
        <f t="shared" si="52"/>
        <v>95.20000000000003</v>
      </c>
      <c r="BJ26" s="43">
        <f t="shared" si="52"/>
        <v>115.90000000000003</v>
      </c>
      <c r="BK26" s="43">
        <f t="shared" si="52"/>
        <v>115.90000000000003</v>
      </c>
      <c r="BL26" s="43">
        <f t="shared" si="52"/>
        <v>115.90000000000003</v>
      </c>
      <c r="BM26" s="43">
        <f t="shared" si="52"/>
        <v>115.90000000000003</v>
      </c>
      <c r="BN26" s="43">
        <f t="shared" si="52"/>
        <v>115.90000000000003</v>
      </c>
      <c r="BO26" s="43">
        <f t="shared" si="52"/>
        <v>152.00000000000003</v>
      </c>
      <c r="BP26" s="43">
        <f t="shared" si="52"/>
        <v>78.40000000000003</v>
      </c>
      <c r="BQ26" s="43">
        <f t="shared" si="52"/>
        <v>78.40000000000003</v>
      </c>
      <c r="BR26" s="43">
        <f aca="true" t="shared" si="53" ref="BR26:EC26">BR25-BR24</f>
        <v>78.40000000000003</v>
      </c>
      <c r="BS26" s="43">
        <f t="shared" si="53"/>
        <v>78.40000000000003</v>
      </c>
      <c r="BT26" s="45">
        <f t="shared" si="53"/>
        <v>105.60000000000004</v>
      </c>
      <c r="BU26" s="45">
        <f t="shared" si="53"/>
        <v>120.20000000000003</v>
      </c>
      <c r="BV26" s="45">
        <f t="shared" si="53"/>
        <v>120.20000000000003</v>
      </c>
      <c r="BW26" s="43">
        <f t="shared" si="53"/>
        <v>95.20000000000003</v>
      </c>
      <c r="BX26" s="43">
        <f t="shared" si="53"/>
        <v>95.20000000000003</v>
      </c>
      <c r="BY26" s="43">
        <f t="shared" si="53"/>
        <v>95.20000000000003</v>
      </c>
      <c r="BZ26" s="43">
        <f t="shared" si="53"/>
        <v>95.20000000000003</v>
      </c>
      <c r="CA26" s="43">
        <f t="shared" si="53"/>
        <v>91.50000000000004</v>
      </c>
      <c r="CB26" s="43">
        <f t="shared" si="53"/>
        <v>91.50000000000004</v>
      </c>
      <c r="CC26" s="43">
        <f t="shared" si="53"/>
        <v>91.50000000000004</v>
      </c>
      <c r="CD26" s="43">
        <f t="shared" si="53"/>
        <v>91.50000000000004</v>
      </c>
      <c r="CE26" s="43">
        <f t="shared" si="53"/>
        <v>91.50000000000004</v>
      </c>
      <c r="CF26" s="43">
        <f t="shared" si="53"/>
        <v>91.50000000000004</v>
      </c>
      <c r="CG26" s="43">
        <f t="shared" si="53"/>
        <v>91.50000000000004</v>
      </c>
      <c r="CH26" s="43">
        <f t="shared" si="53"/>
        <v>88.00000000000004</v>
      </c>
      <c r="CI26" s="43">
        <f t="shared" si="53"/>
        <v>88.00000000000004</v>
      </c>
      <c r="CJ26" s="43">
        <f t="shared" si="53"/>
        <v>88.00000000000004</v>
      </c>
      <c r="CK26" s="43">
        <f t="shared" si="53"/>
        <v>88.00000000000004</v>
      </c>
      <c r="CL26" s="43">
        <f t="shared" si="53"/>
        <v>88.00000000000004</v>
      </c>
      <c r="CM26" s="43">
        <f t="shared" si="53"/>
        <v>101.60000000000004</v>
      </c>
      <c r="CN26" s="43">
        <f t="shared" si="53"/>
        <v>101.60000000000004</v>
      </c>
      <c r="CO26" s="43">
        <f t="shared" si="53"/>
        <v>101.60000000000004</v>
      </c>
      <c r="CP26" s="43">
        <f t="shared" si="53"/>
        <v>101.60000000000004</v>
      </c>
      <c r="CQ26" s="43">
        <f t="shared" si="53"/>
        <v>101.60000000000004</v>
      </c>
      <c r="CR26" s="43">
        <f t="shared" si="53"/>
        <v>128.70000000000005</v>
      </c>
      <c r="CS26" s="43">
        <f t="shared" si="53"/>
        <v>118.90000000000005</v>
      </c>
      <c r="CT26" s="43">
        <f t="shared" si="53"/>
        <v>118.90000000000005</v>
      </c>
      <c r="CU26" s="43">
        <f t="shared" si="53"/>
        <v>118.90000000000005</v>
      </c>
      <c r="CV26" s="43">
        <f t="shared" si="53"/>
        <v>118.90000000000005</v>
      </c>
      <c r="CW26" s="43">
        <f t="shared" si="53"/>
        <v>118.90000000000005</v>
      </c>
      <c r="CX26" s="43">
        <f t="shared" si="53"/>
        <v>153.00000000000006</v>
      </c>
      <c r="CY26" s="43">
        <f t="shared" si="53"/>
        <v>153.00000000000006</v>
      </c>
      <c r="CZ26" s="43">
        <f t="shared" si="53"/>
        <v>155.10000000000005</v>
      </c>
      <c r="DA26" s="43">
        <f t="shared" si="53"/>
        <v>130.10000000000005</v>
      </c>
      <c r="DB26" s="43">
        <f t="shared" si="53"/>
        <v>130.10000000000005</v>
      </c>
      <c r="DC26" s="43">
        <f t="shared" si="53"/>
        <v>130.10000000000005</v>
      </c>
      <c r="DD26" s="43">
        <f t="shared" si="53"/>
        <v>131.60000000000005</v>
      </c>
      <c r="DE26" s="43">
        <f t="shared" si="53"/>
        <v>133.60000000000005</v>
      </c>
      <c r="DF26" s="43">
        <f t="shared" si="53"/>
        <v>135.90000000000006</v>
      </c>
      <c r="DG26" s="43">
        <f t="shared" si="53"/>
        <v>135.90000000000006</v>
      </c>
      <c r="DH26" s="43">
        <f t="shared" si="53"/>
        <v>135.90000000000006</v>
      </c>
      <c r="DI26" s="43">
        <f t="shared" si="53"/>
        <v>135.90000000000006</v>
      </c>
      <c r="DJ26" s="43">
        <f t="shared" si="53"/>
        <v>135.90000000000006</v>
      </c>
      <c r="DK26" s="43">
        <f t="shared" si="53"/>
        <v>188.70000000000007</v>
      </c>
      <c r="DL26" s="43">
        <f t="shared" si="53"/>
        <v>188.70000000000007</v>
      </c>
      <c r="DM26" s="43">
        <f t="shared" si="53"/>
        <v>188.70000000000007</v>
      </c>
      <c r="DN26" s="43">
        <f t="shared" si="53"/>
        <v>188.70000000000007</v>
      </c>
      <c r="DO26" s="43">
        <f t="shared" si="53"/>
        <v>188.70000000000007</v>
      </c>
      <c r="DP26" s="44">
        <f t="shared" si="53"/>
        <v>190.80000000000007</v>
      </c>
      <c r="DQ26" s="44">
        <f t="shared" si="53"/>
        <v>140.80000000000007</v>
      </c>
      <c r="DR26" s="44">
        <f t="shared" si="53"/>
        <v>170.30000000000007</v>
      </c>
      <c r="DS26" s="44">
        <f t="shared" si="53"/>
        <v>170.30000000000007</v>
      </c>
      <c r="DT26" s="44">
        <f t="shared" si="53"/>
        <v>170.30000000000007</v>
      </c>
      <c r="DU26" s="43">
        <f t="shared" si="53"/>
        <v>178.20000000000007</v>
      </c>
      <c r="DV26" s="43">
        <f t="shared" si="53"/>
        <v>178.20000000000007</v>
      </c>
      <c r="DW26" s="43">
        <f t="shared" si="53"/>
        <v>165.4000000000001</v>
      </c>
      <c r="DX26" s="43">
        <f t="shared" si="53"/>
        <v>165.4000000000001</v>
      </c>
      <c r="DY26" s="43">
        <f t="shared" si="53"/>
        <v>145.4000000000001</v>
      </c>
      <c r="DZ26" s="43">
        <f t="shared" si="53"/>
        <v>145.4000000000001</v>
      </c>
      <c r="EA26" s="43">
        <f t="shared" si="53"/>
        <v>147.10000000000008</v>
      </c>
      <c r="EB26" s="43">
        <f t="shared" si="53"/>
        <v>148.20000000000007</v>
      </c>
      <c r="EC26" s="43">
        <f t="shared" si="53"/>
        <v>126.20000000000007</v>
      </c>
      <c r="ED26" s="43">
        <f aca="true" t="shared" si="54" ref="ED26:GO26">ED25-ED24</f>
        <v>126.20000000000007</v>
      </c>
      <c r="EE26" s="43">
        <f t="shared" si="54"/>
        <v>138.40000000000006</v>
      </c>
      <c r="EF26" s="43">
        <f t="shared" si="54"/>
        <v>138.40000000000006</v>
      </c>
      <c r="EG26" s="43">
        <f t="shared" si="54"/>
        <v>138.40000000000006</v>
      </c>
      <c r="EH26" s="43">
        <f t="shared" si="54"/>
        <v>117.80000000000007</v>
      </c>
      <c r="EI26" s="43">
        <f t="shared" si="54"/>
        <v>57.80000000000007</v>
      </c>
      <c r="EJ26" s="43">
        <f t="shared" si="54"/>
        <v>-2.199999999999932</v>
      </c>
      <c r="EK26" s="43">
        <f t="shared" si="54"/>
        <v>-37.19999999999993</v>
      </c>
      <c r="EL26" s="43">
        <f t="shared" si="54"/>
        <v>-37.19999999999993</v>
      </c>
      <c r="EM26" s="43">
        <f t="shared" si="54"/>
        <v>-37.19999999999993</v>
      </c>
      <c r="EN26" s="43">
        <f t="shared" si="54"/>
        <v>13.200000000000067</v>
      </c>
      <c r="EO26" s="43">
        <f t="shared" si="54"/>
        <v>13.200000000000067</v>
      </c>
      <c r="EP26" s="43">
        <f t="shared" si="54"/>
        <v>6.750155989720952E-14</v>
      </c>
      <c r="EQ26" s="43">
        <f t="shared" si="54"/>
        <v>6.750155989720952E-14</v>
      </c>
      <c r="ER26" s="43">
        <f t="shared" si="54"/>
        <v>6.750155989720952E-14</v>
      </c>
      <c r="ES26" s="43">
        <f t="shared" si="54"/>
        <v>6.750155989720952E-14</v>
      </c>
      <c r="ET26" s="43">
        <f t="shared" si="54"/>
        <v>6.750155989720952E-14</v>
      </c>
      <c r="EU26" s="43">
        <f t="shared" si="54"/>
        <v>6.750155989720952E-14</v>
      </c>
      <c r="EV26" s="43">
        <f t="shared" si="54"/>
        <v>11.600000000000067</v>
      </c>
      <c r="EW26" s="43">
        <f t="shared" si="54"/>
        <v>11.600000000000067</v>
      </c>
      <c r="EX26" s="43">
        <f t="shared" si="54"/>
        <v>11.600000000000067</v>
      </c>
      <c r="EY26" s="43">
        <f t="shared" si="54"/>
        <v>11.600000000000067</v>
      </c>
      <c r="EZ26" s="43">
        <f t="shared" si="54"/>
        <v>11.600000000000067</v>
      </c>
      <c r="FA26" s="43">
        <f t="shared" si="54"/>
        <v>6.750155989720952E-14</v>
      </c>
      <c r="FB26" s="43">
        <f t="shared" si="54"/>
        <v>6.750155989720952E-14</v>
      </c>
      <c r="FC26" s="43">
        <f t="shared" si="54"/>
        <v>6.750155989720952E-14</v>
      </c>
      <c r="FD26" s="43">
        <f t="shared" si="54"/>
        <v>6.750155989720952E-14</v>
      </c>
      <c r="FE26" s="43">
        <f t="shared" si="54"/>
        <v>6.750155989720952E-14</v>
      </c>
      <c r="FF26" s="43">
        <f t="shared" si="54"/>
        <v>6.750155989720952E-14</v>
      </c>
      <c r="FG26" s="43">
        <f t="shared" si="54"/>
        <v>6.750155989720952E-14</v>
      </c>
      <c r="FH26" s="43">
        <f t="shared" si="54"/>
        <v>6.750155989720952E-14</v>
      </c>
      <c r="FI26" s="43">
        <f t="shared" si="54"/>
        <v>32.90000000000007</v>
      </c>
      <c r="FJ26" s="43">
        <f t="shared" si="54"/>
        <v>32.90000000000007</v>
      </c>
      <c r="FK26" s="43">
        <f t="shared" si="54"/>
        <v>32.90000000000007</v>
      </c>
      <c r="FL26" s="43">
        <f t="shared" si="54"/>
        <v>32.90000000000007</v>
      </c>
      <c r="FM26" s="43">
        <f t="shared" si="54"/>
        <v>32.90000000000007</v>
      </c>
      <c r="FN26" s="43">
        <f t="shared" si="54"/>
        <v>32.90000000000007</v>
      </c>
      <c r="FO26" s="43">
        <f t="shared" si="54"/>
        <v>32.90000000000007</v>
      </c>
      <c r="FP26" s="43">
        <f t="shared" si="54"/>
        <v>32.90000000000007</v>
      </c>
      <c r="FQ26" s="43">
        <f t="shared" si="54"/>
        <v>32.90000000000007</v>
      </c>
      <c r="FR26" s="43">
        <f t="shared" si="54"/>
        <v>7.105427357601002E-14</v>
      </c>
      <c r="FS26" s="43">
        <f t="shared" si="54"/>
        <v>7.105427357601002E-14</v>
      </c>
      <c r="FT26" s="43">
        <f t="shared" si="54"/>
        <v>7.105427357601002E-14</v>
      </c>
      <c r="FU26" s="43">
        <f t="shared" si="54"/>
        <v>7.105427357601002E-14</v>
      </c>
      <c r="FV26" s="43">
        <f t="shared" si="54"/>
        <v>7.105427357601002E-14</v>
      </c>
      <c r="FW26" s="43">
        <f t="shared" si="54"/>
        <v>7.105427357601002E-14</v>
      </c>
      <c r="FX26" s="43">
        <f t="shared" si="54"/>
        <v>7.105427357601002E-14</v>
      </c>
      <c r="FY26" s="43">
        <f t="shared" si="54"/>
        <v>7.105427357601002E-14</v>
      </c>
      <c r="FZ26" s="43">
        <f t="shared" si="54"/>
        <v>7.105427357601002E-14</v>
      </c>
      <c r="GA26" s="43">
        <f t="shared" si="54"/>
        <v>7.105427357601002E-14</v>
      </c>
      <c r="GB26" s="43">
        <f t="shared" si="54"/>
        <v>7.105427357601002E-14</v>
      </c>
      <c r="GC26" s="43">
        <f t="shared" si="54"/>
        <v>7.105427357601002E-14</v>
      </c>
      <c r="GD26" s="43">
        <f t="shared" si="54"/>
        <v>7.105427357601002E-14</v>
      </c>
      <c r="GE26" s="43">
        <f t="shared" si="54"/>
        <v>7.105427357601002E-14</v>
      </c>
      <c r="GF26" s="43">
        <f t="shared" si="54"/>
        <v>7.105427357601002E-14</v>
      </c>
      <c r="GG26" s="43">
        <f t="shared" si="54"/>
        <v>7.105427357601002E-14</v>
      </c>
      <c r="GH26" s="43">
        <f t="shared" si="54"/>
        <v>7.105427357601002E-14</v>
      </c>
      <c r="GI26" s="43">
        <f t="shared" si="54"/>
        <v>7.105427357601002E-14</v>
      </c>
      <c r="GJ26" s="43">
        <f t="shared" si="54"/>
        <v>7.105427357601002E-14</v>
      </c>
      <c r="GK26" s="43">
        <f t="shared" si="54"/>
        <v>7.105427357601002E-14</v>
      </c>
      <c r="GL26" s="43">
        <f t="shared" si="54"/>
        <v>7.105427357601002E-14</v>
      </c>
      <c r="GM26" s="43">
        <f t="shared" si="54"/>
        <v>7.105427357601002E-14</v>
      </c>
      <c r="GN26" s="43">
        <f t="shared" si="54"/>
        <v>7.105427357601002E-14</v>
      </c>
      <c r="GO26" s="43">
        <f t="shared" si="54"/>
        <v>7.105427357601002E-14</v>
      </c>
    </row>
    <row r="27" spans="1:256" s="9" customFormat="1" ht="15">
      <c r="A27" s="2" t="s">
        <v>226</v>
      </c>
      <c r="B27" s="4">
        <v>13</v>
      </c>
      <c r="C27" s="12" t="s">
        <v>216</v>
      </c>
      <c r="D27" s="19">
        <v>50</v>
      </c>
      <c r="F27" s="19">
        <v>50</v>
      </c>
      <c r="H27" s="19">
        <v>40</v>
      </c>
      <c r="J27" s="19">
        <v>40</v>
      </c>
      <c r="O27" s="19">
        <v>120</v>
      </c>
      <c r="R27" s="19">
        <v>40</v>
      </c>
      <c r="T27" s="19">
        <v>50</v>
      </c>
      <c r="X27" s="19">
        <v>100</v>
      </c>
      <c r="Z27" s="19">
        <v>54.1</v>
      </c>
      <c r="AA27" s="29"/>
      <c r="AD27" s="19">
        <v>100.1</v>
      </c>
      <c r="AE27" s="29"/>
      <c r="AF27" s="19">
        <v>60</v>
      </c>
      <c r="AH27" s="19">
        <v>50.1</v>
      </c>
      <c r="AP27" s="19">
        <v>250</v>
      </c>
      <c r="AS27" s="19">
        <v>55</v>
      </c>
      <c r="AT27" s="19">
        <v>55</v>
      </c>
      <c r="AV27" s="30">
        <v>55.4</v>
      </c>
      <c r="AX27" s="30">
        <v>60.7</v>
      </c>
      <c r="AZ27" s="30">
        <v>50</v>
      </c>
      <c r="BB27" s="30">
        <v>55</v>
      </c>
      <c r="BD27" s="30">
        <v>50</v>
      </c>
      <c r="BF27" s="30">
        <v>40</v>
      </c>
      <c r="BP27" s="19">
        <v>150</v>
      </c>
      <c r="BQ27" s="19">
        <v>50</v>
      </c>
      <c r="BS27" s="19">
        <v>50</v>
      </c>
      <c r="BT27" s="31"/>
      <c r="BU27" s="31"/>
      <c r="BV27" s="31"/>
      <c r="BW27" s="30">
        <v>100.1</v>
      </c>
      <c r="BZ27" s="19">
        <v>79.8</v>
      </c>
      <c r="CA27" s="30">
        <v>40</v>
      </c>
      <c r="CC27" s="30">
        <v>44.4</v>
      </c>
      <c r="CF27" s="30">
        <v>55</v>
      </c>
      <c r="CG27" s="30">
        <v>40</v>
      </c>
      <c r="CJ27" s="19">
        <v>45.8</v>
      </c>
      <c r="CP27" s="19">
        <v>200</v>
      </c>
      <c r="CR27" s="30">
        <v>50</v>
      </c>
      <c r="CT27" s="30">
        <v>40</v>
      </c>
      <c r="CV27" s="30">
        <v>44.7</v>
      </c>
      <c r="CZ27" s="30">
        <v>95</v>
      </c>
      <c r="DB27" s="30">
        <v>45</v>
      </c>
      <c r="DD27" s="30">
        <v>55</v>
      </c>
      <c r="DF27" s="30">
        <v>45</v>
      </c>
      <c r="DH27" s="30">
        <v>55</v>
      </c>
      <c r="DP27" s="19">
        <v>165</v>
      </c>
      <c r="DQ27" s="29"/>
      <c r="DR27" s="30">
        <v>55</v>
      </c>
      <c r="DS27" s="29"/>
      <c r="DT27" s="30">
        <v>45</v>
      </c>
      <c r="DV27" s="30">
        <v>50</v>
      </c>
      <c r="DX27" s="30">
        <v>50</v>
      </c>
      <c r="DY27" s="30">
        <v>30</v>
      </c>
      <c r="DZ27" s="19">
        <v>75</v>
      </c>
      <c r="EB27" s="30">
        <v>45</v>
      </c>
      <c r="ED27" s="30">
        <v>60</v>
      </c>
      <c r="EF27" s="19">
        <v>50</v>
      </c>
      <c r="EH27" s="19">
        <v>40</v>
      </c>
      <c r="EP27" s="19">
        <v>38</v>
      </c>
      <c r="ET27" s="30">
        <v>60</v>
      </c>
      <c r="EU27" s="30">
        <v>60</v>
      </c>
      <c r="EV27" s="30">
        <v>24</v>
      </c>
      <c r="EX27" s="19">
        <v>50</v>
      </c>
      <c r="FA27" s="30">
        <v>55.5</v>
      </c>
      <c r="FD27" s="30">
        <v>51</v>
      </c>
      <c r="FF27" s="30">
        <v>50.2</v>
      </c>
      <c r="FG27" s="99">
        <v>49.4</v>
      </c>
      <c r="FH27" s="99">
        <v>32.6</v>
      </c>
      <c r="FI27" s="99">
        <v>39.9</v>
      </c>
      <c r="FL27" s="98">
        <v>50</v>
      </c>
      <c r="FR27" s="9">
        <v>139.7</v>
      </c>
      <c r="FS27" s="9">
        <v>61.3</v>
      </c>
      <c r="FT27" s="9">
        <v>46</v>
      </c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197" s="42" customFormat="1" ht="15">
      <c r="A28" s="32"/>
      <c r="B28" s="28"/>
      <c r="C28" s="24" t="s">
        <v>217</v>
      </c>
      <c r="D28" s="25">
        <f>346.8+1.1</f>
        <v>347.90000000000003</v>
      </c>
      <c r="E28" s="25">
        <f>D29+1.8+18.4</f>
        <v>318.1</v>
      </c>
      <c r="F28" s="25">
        <f>E29+1.5</f>
        <v>319.6</v>
      </c>
      <c r="G28" s="25">
        <f>F29</f>
        <v>269.6</v>
      </c>
      <c r="H28" s="25">
        <f>G29+36.7+4.5</f>
        <v>310.8</v>
      </c>
      <c r="I28" s="25">
        <f>H29+5.8+40.8</f>
        <v>317.40000000000003</v>
      </c>
      <c r="J28" s="25">
        <f>I29+5+0.8</f>
        <v>323.20000000000005</v>
      </c>
      <c r="K28" s="25">
        <f>J29</f>
        <v>283.20000000000005</v>
      </c>
      <c r="L28" s="25">
        <f>K29+46.5+1.3+5</f>
        <v>336.00000000000006</v>
      </c>
      <c r="M28" s="25">
        <f>L29</f>
        <v>336.00000000000006</v>
      </c>
      <c r="N28" s="25">
        <f>M29+45.1+50.9+2.5+3.3</f>
        <v>437.80000000000007</v>
      </c>
      <c r="O28" s="37">
        <f>N29</f>
        <v>437.80000000000007</v>
      </c>
      <c r="P28" s="25">
        <f>O29+3.8</f>
        <v>321.6000000000001</v>
      </c>
      <c r="Q28" s="25">
        <f>P29</f>
        <v>321.6000000000001</v>
      </c>
      <c r="R28" s="25">
        <f>Q29+1.9+1.6+29.7+2.2</f>
        <v>357.00000000000006</v>
      </c>
      <c r="S28" s="25">
        <f>R29</f>
        <v>317.00000000000006</v>
      </c>
      <c r="T28" s="25">
        <f>S29+4.2</f>
        <v>321.20000000000005</v>
      </c>
      <c r="U28" s="25">
        <f>T29+43.5</f>
        <v>314.70000000000005</v>
      </c>
      <c r="V28" s="25">
        <f>U29+5.2</f>
        <v>319.90000000000003</v>
      </c>
      <c r="W28" s="25">
        <f>V29</f>
        <v>319.90000000000003</v>
      </c>
      <c r="X28" s="37">
        <f>W29+50.6+1.9+1.5+5.8</f>
        <v>379.70000000000005</v>
      </c>
      <c r="Y28" s="25">
        <f>X29</f>
        <v>279.70000000000005</v>
      </c>
      <c r="Z28" s="25">
        <f>Y29+44.5+2.5</f>
        <v>326.70000000000005</v>
      </c>
      <c r="AA28" s="37">
        <f>Z29+36.2+2.6</f>
        <v>311.40000000000003</v>
      </c>
      <c r="AB28" s="25">
        <f>AA29+4.3</f>
        <v>315.70000000000005</v>
      </c>
      <c r="AC28" s="25">
        <f>AB29</f>
        <v>315.70000000000005</v>
      </c>
      <c r="AD28" s="37">
        <f>AC29+46.8+1.8+1.6+4.2</f>
        <v>370.1000000000001</v>
      </c>
      <c r="AE28" s="37">
        <f>AD29</f>
        <v>270.0000000000001</v>
      </c>
      <c r="AF28" s="25">
        <f>AE29+44.8+4.5</f>
        <v>319.3000000000001</v>
      </c>
      <c r="AG28" s="25">
        <f>AF29+2.4+45.6-1.1</f>
        <v>306.2000000000001</v>
      </c>
      <c r="AH28" s="25">
        <f>AG29+5.5-1.2</f>
        <v>310.5000000000001</v>
      </c>
      <c r="AI28" s="25">
        <f>AH29</f>
        <v>260.4000000000001</v>
      </c>
      <c r="AJ28" s="25">
        <f>AI29+56.5+1.8+4.7-0.1+1.5-1.3</f>
        <v>323.50000000000006</v>
      </c>
      <c r="AK28" s="25">
        <f>AJ29</f>
        <v>323.50000000000006</v>
      </c>
      <c r="AL28" s="25">
        <f>AK29+47.9+5.5-1.6</f>
        <v>375.3</v>
      </c>
      <c r="AM28" s="25">
        <f>AL29+2.4+45.6</f>
        <v>423.3</v>
      </c>
      <c r="AN28" s="25">
        <f>AM29+5</f>
        <v>428.3</v>
      </c>
      <c r="AO28" s="25">
        <f>AN29</f>
        <v>428.3</v>
      </c>
      <c r="AP28" s="25">
        <f>AO29+36.2+1.8+4.2+10.6</f>
        <v>481.1</v>
      </c>
      <c r="AQ28" s="25">
        <f>AP29</f>
        <v>231.10000000000002</v>
      </c>
      <c r="AR28" s="25">
        <f>AQ29+48+3.8</f>
        <v>282.90000000000003</v>
      </c>
      <c r="AS28" s="25">
        <f>AR29+52.5</f>
        <v>335.40000000000003</v>
      </c>
      <c r="AT28" s="25">
        <f>AS29+4.1</f>
        <v>284.50000000000006</v>
      </c>
      <c r="AU28" s="25">
        <f>AT29</f>
        <v>229.50000000000006</v>
      </c>
      <c r="AV28" s="25">
        <f>AU29+43.2+0.7+1.1+2.5</f>
        <v>277.00000000000006</v>
      </c>
      <c r="AW28" s="25">
        <f>AV29</f>
        <v>221.60000000000005</v>
      </c>
      <c r="AX28" s="25">
        <f>AW29+35.8+2.7</f>
        <v>260.1</v>
      </c>
      <c r="AY28" s="25">
        <f>AX29+36.5+2.6</f>
        <v>238.50000000000003</v>
      </c>
      <c r="AZ28" s="25">
        <f>AY29+4.4</f>
        <v>242.90000000000003</v>
      </c>
      <c r="BA28" s="25">
        <f>AZ29</f>
        <v>192.90000000000003</v>
      </c>
      <c r="BB28" s="25">
        <f>BA29+40.6+2.4+1.7+3.7</f>
        <v>241.3</v>
      </c>
      <c r="BC28" s="25">
        <f>BB29</f>
        <v>186.3</v>
      </c>
      <c r="BD28" s="25">
        <f>BC29+41.3+4.7</f>
        <v>232.3</v>
      </c>
      <c r="BE28" s="25">
        <f>BD29+39.8+2.6</f>
        <v>224.70000000000002</v>
      </c>
      <c r="BF28" s="25">
        <f>BE29+2.7</f>
        <v>227.4</v>
      </c>
      <c r="BG28" s="25">
        <f>BF29+2.6</f>
        <v>190</v>
      </c>
      <c r="BH28" s="25">
        <f>BG29+34.4+1.6+2.9</f>
        <v>228.9</v>
      </c>
      <c r="BI28" s="25">
        <f>BH29</f>
        <v>228.9</v>
      </c>
      <c r="BJ28" s="25">
        <f>BI29+39.7+4.8</f>
        <v>273.40000000000003</v>
      </c>
      <c r="BK28" s="25">
        <f>BJ29+41.7+2.5</f>
        <v>317.6</v>
      </c>
      <c r="BL28" s="25">
        <f>BK29+3.1</f>
        <v>320.70000000000005</v>
      </c>
      <c r="BM28" s="25">
        <f>BL29+54.4+2.4-0.2</f>
        <v>377.3</v>
      </c>
      <c r="BN28" s="25">
        <f>BM29+7.6+4</f>
        <v>388.90000000000003</v>
      </c>
      <c r="BO28" s="25">
        <f>BN29</f>
        <v>388.90000000000003</v>
      </c>
      <c r="BP28" s="25">
        <f>BO29+58.2+3.7</f>
        <v>450.8</v>
      </c>
      <c r="BQ28" s="25">
        <f>BP29+32.3+0.2</f>
        <v>333.3</v>
      </c>
      <c r="BR28" s="25">
        <f>BQ29+4.3</f>
        <v>287.6</v>
      </c>
      <c r="BS28" s="25">
        <f>BR29+50.5+2</f>
        <v>340.1</v>
      </c>
      <c r="BT28" s="40">
        <f>BS29+7.8</f>
        <v>297.90000000000003</v>
      </c>
      <c r="BU28" s="40">
        <f>BT29</f>
        <v>297.90000000000003</v>
      </c>
      <c r="BV28" s="40">
        <f>BU29+38.8+5.3</f>
        <v>342.00000000000006</v>
      </c>
      <c r="BW28" s="25">
        <f>BV29+33.6</f>
        <v>375.6000000000001</v>
      </c>
      <c r="BX28" s="25">
        <f>BW29+3.9</f>
        <v>279.4000000000001</v>
      </c>
      <c r="BY28" s="25">
        <f>BX29+2.4+43.2+4.4</f>
        <v>329.40000000000003</v>
      </c>
      <c r="BZ28" s="25">
        <f>BY29</f>
        <v>329.40000000000003</v>
      </c>
      <c r="CA28" s="25">
        <f>BZ29</f>
        <v>249.60000000000002</v>
      </c>
      <c r="CB28" s="25">
        <f>CA29+35.3+3.4</f>
        <v>248.30000000000004</v>
      </c>
      <c r="CC28" s="25">
        <f>CB29+31</f>
        <v>279.30000000000007</v>
      </c>
      <c r="CD28" s="25">
        <f>CC29+1.9+2.1</f>
        <v>238.90000000000006</v>
      </c>
      <c r="CE28" s="25">
        <f>CD29+42.9+2.6</f>
        <v>284.4000000000001</v>
      </c>
      <c r="CF28" s="25">
        <f>CE29</f>
        <v>284.4000000000001</v>
      </c>
      <c r="CG28" s="25">
        <f>CF29</f>
        <v>229.4000000000001</v>
      </c>
      <c r="CH28" s="25">
        <f>CG29</f>
        <v>189.4000000000001</v>
      </c>
      <c r="CI28" s="25">
        <f>CH29+48.2+43.5</f>
        <v>281.1000000000001</v>
      </c>
      <c r="CJ28" s="25">
        <f>CI29</f>
        <v>281.1000000000001</v>
      </c>
      <c r="CK28" s="25">
        <f>CJ29</f>
        <v>235.30000000000007</v>
      </c>
      <c r="CL28" s="25">
        <f>CK29</f>
        <v>235.30000000000007</v>
      </c>
      <c r="CM28" s="25">
        <f>CL29+42.6</f>
        <v>277.9000000000001</v>
      </c>
      <c r="CN28" s="25">
        <f>CM29+46.1</f>
        <v>324.0000000000001</v>
      </c>
      <c r="CO28" s="25">
        <f>CN29+36.7</f>
        <v>360.7000000000001</v>
      </c>
      <c r="CP28" s="25">
        <f>CO29</f>
        <v>360.7000000000001</v>
      </c>
      <c r="CQ28" s="25">
        <f>CP29+46.5</f>
        <v>207.2000000000001</v>
      </c>
      <c r="CR28" s="25">
        <f>CQ29+4.5+4.5+3.4+4.7</f>
        <v>224.3000000000001</v>
      </c>
      <c r="CS28" s="25">
        <f>CR29</f>
        <v>174.3000000000001</v>
      </c>
      <c r="CT28" s="25">
        <f>CS29+39.9</f>
        <v>214.2000000000001</v>
      </c>
      <c r="CU28" s="25">
        <f>CT29+2.4+34.8</f>
        <v>211.4000000000001</v>
      </c>
      <c r="CV28" s="25">
        <f>CU29</f>
        <v>211.4000000000001</v>
      </c>
      <c r="CW28" s="25">
        <f>CV29+34.8</f>
        <v>201.5000000000001</v>
      </c>
      <c r="CX28" s="25">
        <f>CW29+0.4</f>
        <v>201.90000000000012</v>
      </c>
      <c r="CY28" s="25">
        <f>CX29</f>
        <v>201.90000000000012</v>
      </c>
      <c r="CZ28" s="25">
        <f>CY29+43.1+3.6+2.9+4.1+5.1</f>
        <v>260.7000000000001</v>
      </c>
      <c r="DA28" s="25">
        <f>CZ29</f>
        <v>165.7000000000001</v>
      </c>
      <c r="DB28" s="25">
        <f>DA29+3.2+41.8</f>
        <v>210.7000000000001</v>
      </c>
      <c r="DC28" s="25">
        <f>DB29</f>
        <v>165.7000000000001</v>
      </c>
      <c r="DD28" s="25">
        <f>DC29+75.2+3.1+3.9</f>
        <v>247.9000000000001</v>
      </c>
      <c r="DE28" s="25">
        <f>DD29</f>
        <v>192.9000000000001</v>
      </c>
      <c r="DF28" s="25">
        <f>DE29</f>
        <v>192.9000000000001</v>
      </c>
      <c r="DG28" s="25">
        <f>DF29+4.1+16.3+32.4+3.1+1.8</f>
        <v>205.6000000000001</v>
      </c>
      <c r="DH28" s="25">
        <f>DG29</f>
        <v>205.6000000000001</v>
      </c>
      <c r="DI28" s="25">
        <f>DH29+3+3.7+8.5</f>
        <v>165.8000000000001</v>
      </c>
      <c r="DJ28" s="25">
        <f>DI29+50.5+5.2</f>
        <v>221.50000000000009</v>
      </c>
      <c r="DK28" s="25">
        <f>DJ29</f>
        <v>221.50000000000009</v>
      </c>
      <c r="DL28" s="25">
        <f>DK29+34.2</f>
        <v>255.7000000000001</v>
      </c>
      <c r="DM28" s="25">
        <f>DL29+41.4+4.9</f>
        <v>302.00000000000006</v>
      </c>
      <c r="DN28" s="25">
        <f>DM29</f>
        <v>302.00000000000006</v>
      </c>
      <c r="DO28" s="25">
        <f>DN29</f>
        <v>302.00000000000006</v>
      </c>
      <c r="DP28" s="37">
        <f>DO29+40.3</f>
        <v>342.30000000000007</v>
      </c>
      <c r="DQ28" s="37">
        <f>DP29+3+4.3+3.7+2.6</f>
        <v>190.90000000000006</v>
      </c>
      <c r="DR28" s="37">
        <f>DQ29</f>
        <v>190.90000000000006</v>
      </c>
      <c r="DS28" s="37">
        <f>DR29+52</f>
        <v>187.90000000000006</v>
      </c>
      <c r="DT28" s="37">
        <f>DS29+48.6+3.1</f>
        <v>239.60000000000005</v>
      </c>
      <c r="DU28" s="25">
        <f>DT29+3+41.7</f>
        <v>239.30000000000007</v>
      </c>
      <c r="DV28" s="25">
        <f>DU29+3.9</f>
        <v>243.20000000000007</v>
      </c>
      <c r="DW28" s="25">
        <f>DV29</f>
        <v>193.20000000000007</v>
      </c>
      <c r="DX28" s="25">
        <f>DW29+48.1</f>
        <v>241.30000000000007</v>
      </c>
      <c r="DY28" s="25">
        <f>DX29+43.9</f>
        <v>235.20000000000007</v>
      </c>
      <c r="DZ28" s="25">
        <f>DY29</f>
        <v>205.20000000000007</v>
      </c>
      <c r="EA28" s="25">
        <f>DZ29+37.5</f>
        <v>167.70000000000007</v>
      </c>
      <c r="EB28" s="25">
        <f>EA29</f>
        <v>167.70000000000007</v>
      </c>
      <c r="EC28" s="25">
        <f>EB29</f>
        <v>122.70000000000007</v>
      </c>
      <c r="ED28" s="25">
        <f>EC29+10.3+4+4.7</f>
        <v>141.70000000000007</v>
      </c>
      <c r="EE28" s="25">
        <f>ED29+37.9+3.4</f>
        <v>123.00000000000009</v>
      </c>
      <c r="EF28" s="25">
        <f aca="true" t="shared" si="55" ref="EF28:GO28">EE29</f>
        <v>123.00000000000009</v>
      </c>
      <c r="EG28" s="25">
        <f t="shared" si="55"/>
        <v>73.00000000000009</v>
      </c>
      <c r="EH28" s="25">
        <f t="shared" si="55"/>
        <v>73.00000000000009</v>
      </c>
      <c r="EI28" s="25">
        <f t="shared" si="55"/>
        <v>33.000000000000085</v>
      </c>
      <c r="EJ28" s="25">
        <f t="shared" si="55"/>
        <v>33.000000000000085</v>
      </c>
      <c r="EK28" s="25">
        <f t="shared" si="55"/>
        <v>33.000000000000085</v>
      </c>
      <c r="EL28" s="25">
        <f t="shared" si="55"/>
        <v>33.000000000000085</v>
      </c>
      <c r="EM28" s="25">
        <f t="shared" si="55"/>
        <v>33.000000000000085</v>
      </c>
      <c r="EN28" s="25">
        <f>EM29+1.1+2.3+1.6</f>
        <v>38.000000000000085</v>
      </c>
      <c r="EO28" s="25">
        <f t="shared" si="55"/>
        <v>38.000000000000085</v>
      </c>
      <c r="EP28" s="25">
        <f t="shared" si="55"/>
        <v>38.000000000000085</v>
      </c>
      <c r="EQ28" s="25">
        <f t="shared" si="55"/>
        <v>8.526512829121202E-14</v>
      </c>
      <c r="ER28" s="25">
        <f>EQ29</f>
        <v>8.526512829121202E-14</v>
      </c>
      <c r="ES28" s="25">
        <f>ER29</f>
        <v>8.526512829121202E-14</v>
      </c>
      <c r="ET28" s="25">
        <f>ES29+55.5+2.6+1.8+19.8</f>
        <v>79.70000000000009</v>
      </c>
      <c r="EU28" s="25">
        <f>ET29+62.6</f>
        <v>82.3000000000001</v>
      </c>
      <c r="EV28" s="25">
        <f>EU29+5.4+4.5+3.8+4.4</f>
        <v>40.40000000000009</v>
      </c>
      <c r="EW28" s="25">
        <f>EV29+34.6+2.2+2.5</f>
        <v>55.700000000000095</v>
      </c>
      <c r="EX28" s="25">
        <f t="shared" si="55"/>
        <v>55.700000000000095</v>
      </c>
      <c r="EY28" s="25">
        <f>EX29+32.6</f>
        <v>38.3000000000001</v>
      </c>
      <c r="EZ28" s="25">
        <f>EY29+19.7+3.5+32.3</f>
        <v>93.8000000000001</v>
      </c>
      <c r="FA28" s="25">
        <f t="shared" si="55"/>
        <v>93.8000000000001</v>
      </c>
      <c r="FB28" s="25">
        <f>FA29+39.5+1.9</f>
        <v>79.7000000000001</v>
      </c>
      <c r="FC28" s="25">
        <f>FB29+3.2</f>
        <v>82.9000000000001</v>
      </c>
      <c r="FD28" s="25">
        <f>FC29+44.5+2.5+29.6+3.5+18.7</f>
        <v>181.70000000000007</v>
      </c>
      <c r="FE28" s="25">
        <f t="shared" si="55"/>
        <v>130.70000000000007</v>
      </c>
      <c r="FF28" s="25">
        <f t="shared" si="55"/>
        <v>130.70000000000007</v>
      </c>
      <c r="FG28" s="25">
        <f>FF29+1.7</f>
        <v>82.20000000000007</v>
      </c>
      <c r="FH28" s="25">
        <f>FG29+34.7+5.2</f>
        <v>72.70000000000009</v>
      </c>
      <c r="FI28" s="25">
        <f>FH29+3.4</f>
        <v>43.500000000000085</v>
      </c>
      <c r="FJ28" s="25">
        <f>FI29+47.5</f>
        <v>51.10000000000009</v>
      </c>
      <c r="FK28" s="25">
        <f>FJ29+5.1</f>
        <v>56.20000000000009</v>
      </c>
      <c r="FL28" s="25">
        <f>FK29+42.3+3.5</f>
        <v>102.00000000000009</v>
      </c>
      <c r="FM28" s="25">
        <f>FL29+4.1</f>
        <v>56.10000000000009</v>
      </c>
      <c r="FN28" s="25">
        <f>FM29+1.9-0.2</f>
        <v>57.80000000000008</v>
      </c>
      <c r="FO28" s="25">
        <f>FN29+27.3+9+39.8+3.5</f>
        <v>137.4000000000001</v>
      </c>
      <c r="FP28" s="25">
        <f>FO29+2.5</f>
        <v>139.9000000000001</v>
      </c>
      <c r="FQ28" s="25">
        <f>FP29+46.6+3.5</f>
        <v>190.00000000000009</v>
      </c>
      <c r="FR28" s="25">
        <f>FQ29+11.2</f>
        <v>201.20000000000007</v>
      </c>
      <c r="FS28" s="25">
        <f>FR29+43.8+2.2</f>
        <v>107.50000000000009</v>
      </c>
      <c r="FT28" s="25">
        <f t="shared" si="55"/>
        <v>46.20000000000009</v>
      </c>
      <c r="FU28" s="25">
        <f t="shared" si="55"/>
        <v>0.2000000000000881</v>
      </c>
      <c r="FV28" s="25">
        <f t="shared" si="55"/>
        <v>0.2000000000000881</v>
      </c>
      <c r="FW28" s="25">
        <f t="shared" si="55"/>
        <v>0.2000000000000881</v>
      </c>
      <c r="FX28" s="25">
        <f t="shared" si="55"/>
        <v>0.2000000000000881</v>
      </c>
      <c r="FY28" s="25">
        <f t="shared" si="55"/>
        <v>0.2000000000000881</v>
      </c>
      <c r="FZ28" s="25">
        <f t="shared" si="55"/>
        <v>0.2000000000000881</v>
      </c>
      <c r="GA28" s="25">
        <f t="shared" si="55"/>
        <v>0.2000000000000881</v>
      </c>
      <c r="GB28" s="25">
        <f t="shared" si="55"/>
        <v>0.2000000000000881</v>
      </c>
      <c r="GC28" s="25">
        <f t="shared" si="55"/>
        <v>0.2000000000000881</v>
      </c>
      <c r="GD28" s="25">
        <f t="shared" si="55"/>
        <v>0.2000000000000881</v>
      </c>
      <c r="GE28" s="25">
        <f t="shared" si="55"/>
        <v>0.2000000000000881</v>
      </c>
      <c r="GF28" s="25">
        <f t="shared" si="55"/>
        <v>0.2000000000000881</v>
      </c>
      <c r="GG28" s="25">
        <f t="shared" si="55"/>
        <v>0.2000000000000881</v>
      </c>
      <c r="GH28" s="25">
        <f t="shared" si="55"/>
        <v>0.2000000000000881</v>
      </c>
      <c r="GI28" s="25">
        <f t="shared" si="55"/>
        <v>0.2000000000000881</v>
      </c>
      <c r="GJ28" s="25">
        <f t="shared" si="55"/>
        <v>0.2000000000000881</v>
      </c>
      <c r="GK28" s="25">
        <f t="shared" si="55"/>
        <v>0.2000000000000881</v>
      </c>
      <c r="GL28" s="25">
        <f t="shared" si="55"/>
        <v>0.2000000000000881</v>
      </c>
      <c r="GM28" s="25">
        <f t="shared" si="55"/>
        <v>0.2000000000000881</v>
      </c>
      <c r="GN28" s="25">
        <f t="shared" si="55"/>
        <v>0.2000000000000881</v>
      </c>
      <c r="GO28" s="25">
        <f t="shared" si="55"/>
        <v>0.2000000000000881</v>
      </c>
    </row>
    <row r="29" spans="1:197" s="42" customFormat="1" ht="15">
      <c r="A29" s="32"/>
      <c r="B29" s="28"/>
      <c r="C29" s="24" t="s">
        <v>218</v>
      </c>
      <c r="D29" s="43">
        <f>D28-D27</f>
        <v>297.90000000000003</v>
      </c>
      <c r="E29" s="43">
        <f>E28-E27</f>
        <v>318.1</v>
      </c>
      <c r="F29" s="43">
        <f aca="true" t="shared" si="56" ref="F29:BQ29">F28-F27</f>
        <v>269.6</v>
      </c>
      <c r="G29" s="43">
        <f t="shared" si="56"/>
        <v>269.6</v>
      </c>
      <c r="H29" s="43">
        <f t="shared" si="56"/>
        <v>270.8</v>
      </c>
      <c r="I29" s="43">
        <f t="shared" si="56"/>
        <v>317.40000000000003</v>
      </c>
      <c r="J29" s="43">
        <f t="shared" si="56"/>
        <v>283.20000000000005</v>
      </c>
      <c r="K29" s="43">
        <f t="shared" si="56"/>
        <v>283.20000000000005</v>
      </c>
      <c r="L29" s="43">
        <f t="shared" si="56"/>
        <v>336.00000000000006</v>
      </c>
      <c r="M29" s="43">
        <f t="shared" si="56"/>
        <v>336.00000000000006</v>
      </c>
      <c r="N29" s="43">
        <f t="shared" si="56"/>
        <v>437.80000000000007</v>
      </c>
      <c r="O29" s="44">
        <f t="shared" si="56"/>
        <v>317.80000000000007</v>
      </c>
      <c r="P29" s="43">
        <f t="shared" si="56"/>
        <v>321.6000000000001</v>
      </c>
      <c r="Q29" s="43">
        <f t="shared" si="56"/>
        <v>321.6000000000001</v>
      </c>
      <c r="R29" s="43">
        <f t="shared" si="56"/>
        <v>317.00000000000006</v>
      </c>
      <c r="S29" s="43">
        <f t="shared" si="56"/>
        <v>317.00000000000006</v>
      </c>
      <c r="T29" s="43">
        <f t="shared" si="56"/>
        <v>271.20000000000005</v>
      </c>
      <c r="U29" s="43">
        <f t="shared" si="56"/>
        <v>314.70000000000005</v>
      </c>
      <c r="V29" s="43">
        <f t="shared" si="56"/>
        <v>319.90000000000003</v>
      </c>
      <c r="W29" s="43">
        <f t="shared" si="56"/>
        <v>319.90000000000003</v>
      </c>
      <c r="X29" s="44">
        <f t="shared" si="56"/>
        <v>279.70000000000005</v>
      </c>
      <c r="Y29" s="43">
        <f t="shared" si="56"/>
        <v>279.70000000000005</v>
      </c>
      <c r="Z29" s="43">
        <f t="shared" si="56"/>
        <v>272.6</v>
      </c>
      <c r="AA29" s="44">
        <f t="shared" si="56"/>
        <v>311.40000000000003</v>
      </c>
      <c r="AB29" s="43">
        <f t="shared" si="56"/>
        <v>315.70000000000005</v>
      </c>
      <c r="AC29" s="43">
        <f t="shared" si="56"/>
        <v>315.70000000000005</v>
      </c>
      <c r="AD29" s="44">
        <f t="shared" si="56"/>
        <v>270.0000000000001</v>
      </c>
      <c r="AE29" s="44">
        <f t="shared" si="56"/>
        <v>270.0000000000001</v>
      </c>
      <c r="AF29" s="43">
        <f t="shared" si="56"/>
        <v>259.3000000000001</v>
      </c>
      <c r="AG29" s="43">
        <f t="shared" si="56"/>
        <v>306.2000000000001</v>
      </c>
      <c r="AH29" s="43">
        <f t="shared" si="56"/>
        <v>260.4000000000001</v>
      </c>
      <c r="AI29" s="43">
        <f t="shared" si="56"/>
        <v>260.4000000000001</v>
      </c>
      <c r="AJ29" s="43">
        <f t="shared" si="56"/>
        <v>323.50000000000006</v>
      </c>
      <c r="AK29" s="43">
        <f t="shared" si="56"/>
        <v>323.50000000000006</v>
      </c>
      <c r="AL29" s="43">
        <f t="shared" si="56"/>
        <v>375.3</v>
      </c>
      <c r="AM29" s="43">
        <f t="shared" si="56"/>
        <v>423.3</v>
      </c>
      <c r="AN29" s="43">
        <f t="shared" si="56"/>
        <v>428.3</v>
      </c>
      <c r="AO29" s="43">
        <f t="shared" si="56"/>
        <v>428.3</v>
      </c>
      <c r="AP29" s="43">
        <f t="shared" si="56"/>
        <v>231.10000000000002</v>
      </c>
      <c r="AQ29" s="43">
        <f t="shared" si="56"/>
        <v>231.10000000000002</v>
      </c>
      <c r="AR29" s="43">
        <f t="shared" si="56"/>
        <v>282.90000000000003</v>
      </c>
      <c r="AS29" s="43">
        <f t="shared" si="56"/>
        <v>280.40000000000003</v>
      </c>
      <c r="AT29" s="43">
        <f t="shared" si="56"/>
        <v>229.50000000000006</v>
      </c>
      <c r="AU29" s="43">
        <f t="shared" si="56"/>
        <v>229.50000000000006</v>
      </c>
      <c r="AV29" s="43">
        <f t="shared" si="56"/>
        <v>221.60000000000005</v>
      </c>
      <c r="AW29" s="43">
        <f t="shared" si="56"/>
        <v>221.60000000000005</v>
      </c>
      <c r="AX29" s="43">
        <f t="shared" si="56"/>
        <v>199.40000000000003</v>
      </c>
      <c r="AY29" s="43">
        <f t="shared" si="56"/>
        <v>238.50000000000003</v>
      </c>
      <c r="AZ29" s="43">
        <f t="shared" si="56"/>
        <v>192.90000000000003</v>
      </c>
      <c r="BA29" s="43">
        <f t="shared" si="56"/>
        <v>192.90000000000003</v>
      </c>
      <c r="BB29" s="43">
        <f t="shared" si="56"/>
        <v>186.3</v>
      </c>
      <c r="BC29" s="43">
        <f t="shared" si="56"/>
        <v>186.3</v>
      </c>
      <c r="BD29" s="43">
        <f t="shared" si="56"/>
        <v>182.3</v>
      </c>
      <c r="BE29" s="43">
        <f t="shared" si="56"/>
        <v>224.70000000000002</v>
      </c>
      <c r="BF29" s="43">
        <f t="shared" si="56"/>
        <v>187.4</v>
      </c>
      <c r="BG29" s="43">
        <f t="shared" si="56"/>
        <v>190</v>
      </c>
      <c r="BH29" s="43">
        <f t="shared" si="56"/>
        <v>228.9</v>
      </c>
      <c r="BI29" s="43">
        <f t="shared" si="56"/>
        <v>228.9</v>
      </c>
      <c r="BJ29" s="43">
        <f t="shared" si="56"/>
        <v>273.40000000000003</v>
      </c>
      <c r="BK29" s="43">
        <f t="shared" si="56"/>
        <v>317.6</v>
      </c>
      <c r="BL29" s="43">
        <f t="shared" si="56"/>
        <v>320.70000000000005</v>
      </c>
      <c r="BM29" s="43">
        <f t="shared" si="56"/>
        <v>377.3</v>
      </c>
      <c r="BN29" s="43">
        <f t="shared" si="56"/>
        <v>388.90000000000003</v>
      </c>
      <c r="BO29" s="43">
        <f t="shared" si="56"/>
        <v>388.90000000000003</v>
      </c>
      <c r="BP29" s="43">
        <f t="shared" si="56"/>
        <v>300.8</v>
      </c>
      <c r="BQ29" s="43">
        <f t="shared" si="56"/>
        <v>283.3</v>
      </c>
      <c r="BR29" s="43">
        <f aca="true" t="shared" si="57" ref="BR29:EC29">BR28-BR27</f>
        <v>287.6</v>
      </c>
      <c r="BS29" s="43">
        <f t="shared" si="57"/>
        <v>290.1</v>
      </c>
      <c r="BT29" s="45">
        <f t="shared" si="57"/>
        <v>297.90000000000003</v>
      </c>
      <c r="BU29" s="45">
        <f t="shared" si="57"/>
        <v>297.90000000000003</v>
      </c>
      <c r="BV29" s="45">
        <f t="shared" si="57"/>
        <v>342.00000000000006</v>
      </c>
      <c r="BW29" s="43">
        <f t="shared" si="57"/>
        <v>275.5000000000001</v>
      </c>
      <c r="BX29" s="43">
        <f t="shared" si="57"/>
        <v>279.4000000000001</v>
      </c>
      <c r="BY29" s="43">
        <f t="shared" si="57"/>
        <v>329.40000000000003</v>
      </c>
      <c r="BZ29" s="43">
        <f t="shared" si="57"/>
        <v>249.60000000000002</v>
      </c>
      <c r="CA29" s="43">
        <f t="shared" si="57"/>
        <v>209.60000000000002</v>
      </c>
      <c r="CB29" s="43">
        <f t="shared" si="57"/>
        <v>248.30000000000004</v>
      </c>
      <c r="CC29" s="43">
        <f t="shared" si="57"/>
        <v>234.90000000000006</v>
      </c>
      <c r="CD29" s="43">
        <f t="shared" si="57"/>
        <v>238.90000000000006</v>
      </c>
      <c r="CE29" s="43">
        <f t="shared" si="57"/>
        <v>284.4000000000001</v>
      </c>
      <c r="CF29" s="43">
        <f t="shared" si="57"/>
        <v>229.4000000000001</v>
      </c>
      <c r="CG29" s="43">
        <f t="shared" si="57"/>
        <v>189.4000000000001</v>
      </c>
      <c r="CH29" s="43">
        <f t="shared" si="57"/>
        <v>189.4000000000001</v>
      </c>
      <c r="CI29" s="43">
        <f t="shared" si="57"/>
        <v>281.1000000000001</v>
      </c>
      <c r="CJ29" s="43">
        <f t="shared" si="57"/>
        <v>235.30000000000007</v>
      </c>
      <c r="CK29" s="43">
        <f t="shared" si="57"/>
        <v>235.30000000000007</v>
      </c>
      <c r="CL29" s="43">
        <f t="shared" si="57"/>
        <v>235.30000000000007</v>
      </c>
      <c r="CM29" s="43">
        <f t="shared" si="57"/>
        <v>277.9000000000001</v>
      </c>
      <c r="CN29" s="43">
        <f t="shared" si="57"/>
        <v>324.0000000000001</v>
      </c>
      <c r="CO29" s="43">
        <f t="shared" si="57"/>
        <v>360.7000000000001</v>
      </c>
      <c r="CP29" s="43">
        <f t="shared" si="57"/>
        <v>160.7000000000001</v>
      </c>
      <c r="CQ29" s="43">
        <f t="shared" si="57"/>
        <v>207.2000000000001</v>
      </c>
      <c r="CR29" s="43">
        <f t="shared" si="57"/>
        <v>174.3000000000001</v>
      </c>
      <c r="CS29" s="43">
        <f t="shared" si="57"/>
        <v>174.3000000000001</v>
      </c>
      <c r="CT29" s="43">
        <f t="shared" si="57"/>
        <v>174.2000000000001</v>
      </c>
      <c r="CU29" s="43">
        <f t="shared" si="57"/>
        <v>211.4000000000001</v>
      </c>
      <c r="CV29" s="43">
        <f t="shared" si="57"/>
        <v>166.7000000000001</v>
      </c>
      <c r="CW29" s="43">
        <f t="shared" si="57"/>
        <v>201.5000000000001</v>
      </c>
      <c r="CX29" s="43">
        <f t="shared" si="57"/>
        <v>201.90000000000012</v>
      </c>
      <c r="CY29" s="43">
        <f t="shared" si="57"/>
        <v>201.90000000000012</v>
      </c>
      <c r="CZ29" s="43">
        <f t="shared" si="57"/>
        <v>165.7000000000001</v>
      </c>
      <c r="DA29" s="43">
        <f t="shared" si="57"/>
        <v>165.7000000000001</v>
      </c>
      <c r="DB29" s="43">
        <f t="shared" si="57"/>
        <v>165.7000000000001</v>
      </c>
      <c r="DC29" s="43">
        <f t="shared" si="57"/>
        <v>165.7000000000001</v>
      </c>
      <c r="DD29" s="43">
        <f t="shared" si="57"/>
        <v>192.9000000000001</v>
      </c>
      <c r="DE29" s="43">
        <f t="shared" si="57"/>
        <v>192.9000000000001</v>
      </c>
      <c r="DF29" s="43">
        <f t="shared" si="57"/>
        <v>147.9000000000001</v>
      </c>
      <c r="DG29" s="43">
        <f t="shared" si="57"/>
        <v>205.6000000000001</v>
      </c>
      <c r="DH29" s="43">
        <f t="shared" si="57"/>
        <v>150.6000000000001</v>
      </c>
      <c r="DI29" s="43">
        <f t="shared" si="57"/>
        <v>165.8000000000001</v>
      </c>
      <c r="DJ29" s="43">
        <f t="shared" si="57"/>
        <v>221.50000000000009</v>
      </c>
      <c r="DK29" s="43">
        <f t="shared" si="57"/>
        <v>221.50000000000009</v>
      </c>
      <c r="DL29" s="43">
        <f t="shared" si="57"/>
        <v>255.7000000000001</v>
      </c>
      <c r="DM29" s="43">
        <f t="shared" si="57"/>
        <v>302.00000000000006</v>
      </c>
      <c r="DN29" s="43">
        <f t="shared" si="57"/>
        <v>302.00000000000006</v>
      </c>
      <c r="DO29" s="43">
        <f t="shared" si="57"/>
        <v>302.00000000000006</v>
      </c>
      <c r="DP29" s="44">
        <f t="shared" si="57"/>
        <v>177.30000000000007</v>
      </c>
      <c r="DQ29" s="44">
        <f t="shared" si="57"/>
        <v>190.90000000000006</v>
      </c>
      <c r="DR29" s="44">
        <f t="shared" si="57"/>
        <v>135.90000000000006</v>
      </c>
      <c r="DS29" s="44">
        <f t="shared" si="57"/>
        <v>187.90000000000006</v>
      </c>
      <c r="DT29" s="44">
        <f t="shared" si="57"/>
        <v>194.60000000000005</v>
      </c>
      <c r="DU29" s="43">
        <f t="shared" si="57"/>
        <v>239.30000000000007</v>
      </c>
      <c r="DV29" s="43">
        <f t="shared" si="57"/>
        <v>193.20000000000007</v>
      </c>
      <c r="DW29" s="43">
        <f t="shared" si="57"/>
        <v>193.20000000000007</v>
      </c>
      <c r="DX29" s="43">
        <f t="shared" si="57"/>
        <v>191.30000000000007</v>
      </c>
      <c r="DY29" s="43">
        <f t="shared" si="57"/>
        <v>205.20000000000007</v>
      </c>
      <c r="DZ29" s="43">
        <f t="shared" si="57"/>
        <v>130.20000000000007</v>
      </c>
      <c r="EA29" s="43">
        <f t="shared" si="57"/>
        <v>167.70000000000007</v>
      </c>
      <c r="EB29" s="43">
        <f t="shared" si="57"/>
        <v>122.70000000000007</v>
      </c>
      <c r="EC29" s="43">
        <f t="shared" si="57"/>
        <v>122.70000000000007</v>
      </c>
      <c r="ED29" s="43">
        <f aca="true" t="shared" si="58" ref="ED29:GO29">ED28-ED27</f>
        <v>81.70000000000007</v>
      </c>
      <c r="EE29" s="43">
        <f t="shared" si="58"/>
        <v>123.00000000000009</v>
      </c>
      <c r="EF29" s="43">
        <f t="shared" si="58"/>
        <v>73.00000000000009</v>
      </c>
      <c r="EG29" s="43">
        <f t="shared" si="58"/>
        <v>73.00000000000009</v>
      </c>
      <c r="EH29" s="43">
        <f t="shared" si="58"/>
        <v>33.000000000000085</v>
      </c>
      <c r="EI29" s="43">
        <f t="shared" si="58"/>
        <v>33.000000000000085</v>
      </c>
      <c r="EJ29" s="43">
        <f t="shared" si="58"/>
        <v>33.000000000000085</v>
      </c>
      <c r="EK29" s="43">
        <f t="shared" si="58"/>
        <v>33.000000000000085</v>
      </c>
      <c r="EL29" s="43">
        <f t="shared" si="58"/>
        <v>33.000000000000085</v>
      </c>
      <c r="EM29" s="43">
        <f t="shared" si="58"/>
        <v>33.000000000000085</v>
      </c>
      <c r="EN29" s="43">
        <f t="shared" si="58"/>
        <v>38.000000000000085</v>
      </c>
      <c r="EO29" s="43">
        <f t="shared" si="58"/>
        <v>38.000000000000085</v>
      </c>
      <c r="EP29" s="43">
        <f t="shared" si="58"/>
        <v>8.526512829121202E-14</v>
      </c>
      <c r="EQ29" s="43">
        <f t="shared" si="58"/>
        <v>8.526512829121202E-14</v>
      </c>
      <c r="ER29" s="43">
        <f t="shared" si="58"/>
        <v>8.526512829121202E-14</v>
      </c>
      <c r="ES29" s="43">
        <f t="shared" si="58"/>
        <v>8.526512829121202E-14</v>
      </c>
      <c r="ET29" s="43">
        <f t="shared" si="58"/>
        <v>19.700000000000088</v>
      </c>
      <c r="EU29" s="43">
        <f t="shared" si="58"/>
        <v>22.300000000000097</v>
      </c>
      <c r="EV29" s="43">
        <f t="shared" si="58"/>
        <v>16.40000000000009</v>
      </c>
      <c r="EW29" s="43">
        <f t="shared" si="58"/>
        <v>55.700000000000095</v>
      </c>
      <c r="EX29" s="43">
        <f t="shared" si="58"/>
        <v>5.700000000000095</v>
      </c>
      <c r="EY29" s="43">
        <f t="shared" si="58"/>
        <v>38.3000000000001</v>
      </c>
      <c r="EZ29" s="43">
        <f t="shared" si="58"/>
        <v>93.8000000000001</v>
      </c>
      <c r="FA29" s="43">
        <f t="shared" si="58"/>
        <v>38.3000000000001</v>
      </c>
      <c r="FB29" s="43">
        <f t="shared" si="58"/>
        <v>79.7000000000001</v>
      </c>
      <c r="FC29" s="43">
        <f t="shared" si="58"/>
        <v>82.9000000000001</v>
      </c>
      <c r="FD29" s="43">
        <f t="shared" si="58"/>
        <v>130.70000000000007</v>
      </c>
      <c r="FE29" s="43">
        <f t="shared" si="58"/>
        <v>130.70000000000007</v>
      </c>
      <c r="FF29" s="43">
        <f t="shared" si="58"/>
        <v>80.50000000000007</v>
      </c>
      <c r="FG29" s="43">
        <f t="shared" si="58"/>
        <v>32.800000000000075</v>
      </c>
      <c r="FH29" s="43">
        <f t="shared" si="58"/>
        <v>40.10000000000009</v>
      </c>
      <c r="FI29" s="43">
        <f t="shared" si="58"/>
        <v>3.6000000000000867</v>
      </c>
      <c r="FJ29" s="43">
        <f t="shared" si="58"/>
        <v>51.10000000000009</v>
      </c>
      <c r="FK29" s="43">
        <f t="shared" si="58"/>
        <v>56.20000000000009</v>
      </c>
      <c r="FL29" s="43">
        <f t="shared" si="58"/>
        <v>52.000000000000085</v>
      </c>
      <c r="FM29" s="43">
        <f t="shared" si="58"/>
        <v>56.10000000000009</v>
      </c>
      <c r="FN29" s="43">
        <f t="shared" si="58"/>
        <v>57.80000000000008</v>
      </c>
      <c r="FO29" s="43">
        <f t="shared" si="58"/>
        <v>137.4000000000001</v>
      </c>
      <c r="FP29" s="43">
        <f t="shared" si="58"/>
        <v>139.9000000000001</v>
      </c>
      <c r="FQ29" s="43">
        <f t="shared" si="58"/>
        <v>190.00000000000009</v>
      </c>
      <c r="FR29" s="43">
        <f t="shared" si="58"/>
        <v>61.500000000000085</v>
      </c>
      <c r="FS29" s="43">
        <f t="shared" si="58"/>
        <v>46.20000000000009</v>
      </c>
      <c r="FT29" s="43">
        <f t="shared" si="58"/>
        <v>0.2000000000000881</v>
      </c>
      <c r="FU29" s="43">
        <f t="shared" si="58"/>
        <v>0.2000000000000881</v>
      </c>
      <c r="FV29" s="43">
        <f t="shared" si="58"/>
        <v>0.2000000000000881</v>
      </c>
      <c r="FW29" s="43">
        <f t="shared" si="58"/>
        <v>0.2000000000000881</v>
      </c>
      <c r="FX29" s="43">
        <f t="shared" si="58"/>
        <v>0.2000000000000881</v>
      </c>
      <c r="FY29" s="43">
        <f t="shared" si="58"/>
        <v>0.2000000000000881</v>
      </c>
      <c r="FZ29" s="43">
        <f t="shared" si="58"/>
        <v>0.2000000000000881</v>
      </c>
      <c r="GA29" s="43">
        <f t="shared" si="58"/>
        <v>0.2000000000000881</v>
      </c>
      <c r="GB29" s="43">
        <f t="shared" si="58"/>
        <v>0.2000000000000881</v>
      </c>
      <c r="GC29" s="43">
        <f t="shared" si="58"/>
        <v>0.2000000000000881</v>
      </c>
      <c r="GD29" s="43">
        <f t="shared" si="58"/>
        <v>0.2000000000000881</v>
      </c>
      <c r="GE29" s="43">
        <f t="shared" si="58"/>
        <v>0.2000000000000881</v>
      </c>
      <c r="GF29" s="43">
        <f t="shared" si="58"/>
        <v>0.2000000000000881</v>
      </c>
      <c r="GG29" s="43">
        <f t="shared" si="58"/>
        <v>0.2000000000000881</v>
      </c>
      <c r="GH29" s="43">
        <f t="shared" si="58"/>
        <v>0.2000000000000881</v>
      </c>
      <c r="GI29" s="43">
        <f t="shared" si="58"/>
        <v>0.2000000000000881</v>
      </c>
      <c r="GJ29" s="43">
        <f t="shared" si="58"/>
        <v>0.2000000000000881</v>
      </c>
      <c r="GK29" s="43">
        <f t="shared" si="58"/>
        <v>0.2000000000000881</v>
      </c>
      <c r="GL29" s="43">
        <f t="shared" si="58"/>
        <v>0.2000000000000881</v>
      </c>
      <c r="GM29" s="43">
        <f t="shared" si="58"/>
        <v>0.2000000000000881</v>
      </c>
      <c r="GN29" s="43">
        <f t="shared" si="58"/>
        <v>0.2000000000000881</v>
      </c>
      <c r="GO29" s="43">
        <f t="shared" si="58"/>
        <v>0.2000000000000881</v>
      </c>
    </row>
    <row r="30" spans="1:256" s="9" customFormat="1" ht="15">
      <c r="A30" s="2" t="s">
        <v>227</v>
      </c>
      <c r="B30" s="4">
        <v>14</v>
      </c>
      <c r="C30" s="12" t="s">
        <v>216</v>
      </c>
      <c r="O30" s="19">
        <v>17.3</v>
      </c>
      <c r="T30" s="19">
        <v>22.4</v>
      </c>
      <c r="X30" s="29"/>
      <c r="AA30" s="29"/>
      <c r="AD30" s="29"/>
      <c r="AE30" s="29"/>
      <c r="AH30" s="19">
        <v>22.8</v>
      </c>
      <c r="AP30" s="29"/>
      <c r="AT30" s="19">
        <v>15.2</v>
      </c>
      <c r="BP30" s="19">
        <v>10</v>
      </c>
      <c r="BQ30" s="19">
        <v>8.3</v>
      </c>
      <c r="BT30" s="31"/>
      <c r="BU30" s="31"/>
      <c r="BV30" s="31"/>
      <c r="CH30" s="30">
        <v>2.8</v>
      </c>
      <c r="CP30" s="19">
        <v>10.6</v>
      </c>
      <c r="DA30" s="30">
        <v>9.2</v>
      </c>
      <c r="DH30" s="30">
        <v>4.4</v>
      </c>
      <c r="DP30" s="29"/>
      <c r="DQ30" s="30">
        <v>21.9</v>
      </c>
      <c r="DR30" s="29"/>
      <c r="DS30" s="29"/>
      <c r="DT30" s="29"/>
      <c r="EC30" s="30">
        <v>17.2</v>
      </c>
      <c r="FR30" s="9">
        <v>15.5</v>
      </c>
      <c r="FY30" s="9">
        <v>10</v>
      </c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197" ht="15">
      <c r="A31" s="2"/>
      <c r="B31" s="4"/>
      <c r="C31" s="12" t="s">
        <v>217</v>
      </c>
      <c r="D31" s="14">
        <v>6.5</v>
      </c>
      <c r="E31" s="14">
        <f>D32</f>
        <v>6.5</v>
      </c>
      <c r="F31" s="14">
        <f aca="true" t="shared" si="59" ref="F31:BQ31">E32</f>
        <v>6.5</v>
      </c>
      <c r="G31" s="14">
        <f>F32+5.2</f>
        <v>11.7</v>
      </c>
      <c r="H31" s="14">
        <f t="shared" si="59"/>
        <v>11.7</v>
      </c>
      <c r="I31" s="14">
        <f t="shared" si="59"/>
        <v>11.7</v>
      </c>
      <c r="J31" s="14">
        <f t="shared" si="59"/>
        <v>11.7</v>
      </c>
      <c r="K31" s="14">
        <f t="shared" si="59"/>
        <v>11.7</v>
      </c>
      <c r="L31" s="14">
        <f t="shared" si="59"/>
        <v>11.7</v>
      </c>
      <c r="M31" s="14">
        <f>L32+5.6</f>
        <v>17.299999999999997</v>
      </c>
      <c r="N31" s="14">
        <f t="shared" si="59"/>
        <v>17.299999999999997</v>
      </c>
      <c r="O31" s="15">
        <f>N32</f>
        <v>17.299999999999997</v>
      </c>
      <c r="P31" s="14">
        <f t="shared" si="59"/>
        <v>0</v>
      </c>
      <c r="Q31" s="14">
        <f t="shared" si="59"/>
        <v>0</v>
      </c>
      <c r="R31" s="14">
        <f t="shared" si="59"/>
        <v>0</v>
      </c>
      <c r="S31" s="14">
        <f>R32+22.4</f>
        <v>22.4</v>
      </c>
      <c r="T31" s="14">
        <f t="shared" si="59"/>
        <v>22.4</v>
      </c>
      <c r="U31" s="14">
        <f t="shared" si="59"/>
        <v>0</v>
      </c>
      <c r="V31" s="14">
        <f t="shared" si="59"/>
        <v>0</v>
      </c>
      <c r="W31" s="14">
        <f t="shared" si="59"/>
        <v>0</v>
      </c>
      <c r="X31" s="15">
        <f t="shared" si="59"/>
        <v>0</v>
      </c>
      <c r="Y31" s="14">
        <f>X32+20</f>
        <v>20</v>
      </c>
      <c r="Z31" s="14">
        <f t="shared" si="59"/>
        <v>20</v>
      </c>
      <c r="AA31" s="15">
        <f t="shared" si="59"/>
        <v>20</v>
      </c>
      <c r="AB31" s="14">
        <f t="shared" si="59"/>
        <v>20</v>
      </c>
      <c r="AC31" s="14">
        <f t="shared" si="59"/>
        <v>20</v>
      </c>
      <c r="AD31" s="15">
        <f t="shared" si="59"/>
        <v>20</v>
      </c>
      <c r="AE31" s="15">
        <f>AD32+2.8</f>
        <v>22.8</v>
      </c>
      <c r="AF31" s="14">
        <f t="shared" si="59"/>
        <v>22.8</v>
      </c>
      <c r="AG31" s="14">
        <f t="shared" si="59"/>
        <v>22.8</v>
      </c>
      <c r="AH31" s="14">
        <f t="shared" si="59"/>
        <v>22.8</v>
      </c>
      <c r="AI31" s="14">
        <f t="shared" si="59"/>
        <v>0</v>
      </c>
      <c r="AJ31" s="14">
        <f t="shared" si="59"/>
        <v>0</v>
      </c>
      <c r="AK31" s="14">
        <f>AJ32+4.7</f>
        <v>4.7</v>
      </c>
      <c r="AL31" s="14">
        <f t="shared" si="59"/>
        <v>4.7</v>
      </c>
      <c r="AM31" s="14">
        <f t="shared" si="59"/>
        <v>4.7</v>
      </c>
      <c r="AN31" s="14">
        <f t="shared" si="59"/>
        <v>4.7</v>
      </c>
      <c r="AO31" s="14">
        <f t="shared" si="59"/>
        <v>4.7</v>
      </c>
      <c r="AP31" s="14">
        <f t="shared" si="59"/>
        <v>4.7</v>
      </c>
      <c r="AQ31" s="14">
        <f>AP32+10.5</f>
        <v>15.2</v>
      </c>
      <c r="AR31" s="14">
        <f t="shared" si="59"/>
        <v>15.2</v>
      </c>
      <c r="AS31" s="14">
        <f t="shared" si="59"/>
        <v>15.2</v>
      </c>
      <c r="AT31" s="14">
        <f t="shared" si="59"/>
        <v>15.2</v>
      </c>
      <c r="AU31" s="14">
        <f t="shared" si="59"/>
        <v>0</v>
      </c>
      <c r="AV31" s="14">
        <f t="shared" si="59"/>
        <v>0</v>
      </c>
      <c r="AW31" s="14">
        <f t="shared" si="59"/>
        <v>0</v>
      </c>
      <c r="AX31" s="14">
        <f>AW32+6.2</f>
        <v>6.2</v>
      </c>
      <c r="AY31" s="14">
        <f t="shared" si="59"/>
        <v>6.2</v>
      </c>
      <c r="AZ31" s="14">
        <f t="shared" si="59"/>
        <v>6.2</v>
      </c>
      <c r="BA31" s="14">
        <f t="shared" si="59"/>
        <v>6.2</v>
      </c>
      <c r="BB31" s="14">
        <f t="shared" si="59"/>
        <v>6.2</v>
      </c>
      <c r="BC31" s="14">
        <f>BB32+3.8</f>
        <v>10</v>
      </c>
      <c r="BD31" s="14">
        <f t="shared" si="59"/>
        <v>10</v>
      </c>
      <c r="BE31" s="14">
        <f t="shared" si="59"/>
        <v>10</v>
      </c>
      <c r="BF31" s="14">
        <f t="shared" si="59"/>
        <v>10</v>
      </c>
      <c r="BG31" s="14">
        <f t="shared" si="59"/>
        <v>10</v>
      </c>
      <c r="BH31" s="14">
        <f t="shared" si="59"/>
        <v>10</v>
      </c>
      <c r="BI31" s="14">
        <f t="shared" si="59"/>
        <v>10</v>
      </c>
      <c r="BJ31" s="14">
        <f>BI32+5.4</f>
        <v>15.4</v>
      </c>
      <c r="BK31" s="14">
        <f t="shared" si="59"/>
        <v>15.4</v>
      </c>
      <c r="BL31" s="14">
        <f t="shared" si="59"/>
        <v>15.4</v>
      </c>
      <c r="BM31" s="14">
        <f t="shared" si="59"/>
        <v>15.4</v>
      </c>
      <c r="BN31" s="14">
        <f t="shared" si="59"/>
        <v>15.4</v>
      </c>
      <c r="BO31" s="14">
        <f>BN32+2.9</f>
        <v>18.3</v>
      </c>
      <c r="BP31" s="14">
        <f t="shared" si="59"/>
        <v>18.3</v>
      </c>
      <c r="BQ31" s="14">
        <f t="shared" si="59"/>
        <v>8.3</v>
      </c>
      <c r="BR31" s="14">
        <f aca="true" t="shared" si="60" ref="BR31:EC31">BQ32</f>
        <v>0</v>
      </c>
      <c r="BS31" s="14">
        <f t="shared" si="60"/>
        <v>0</v>
      </c>
      <c r="BT31" s="26">
        <f t="shared" si="60"/>
        <v>0</v>
      </c>
      <c r="BU31" s="26">
        <f>BT32+2.8</f>
        <v>2.8</v>
      </c>
      <c r="BV31" s="26">
        <f t="shared" si="60"/>
        <v>2.8</v>
      </c>
      <c r="BW31" s="14">
        <f t="shared" si="60"/>
        <v>2.8</v>
      </c>
      <c r="BX31" s="14">
        <f t="shared" si="60"/>
        <v>2.8</v>
      </c>
      <c r="BY31" s="14">
        <f t="shared" si="60"/>
        <v>2.8</v>
      </c>
      <c r="BZ31" s="14">
        <f t="shared" si="60"/>
        <v>2.8</v>
      </c>
      <c r="CA31" s="14">
        <f t="shared" si="60"/>
        <v>2.8</v>
      </c>
      <c r="CB31" s="14">
        <f>CA32+4.4</f>
        <v>7.2</v>
      </c>
      <c r="CC31" s="14">
        <f t="shared" si="60"/>
        <v>7.2</v>
      </c>
      <c r="CD31" s="14">
        <f t="shared" si="60"/>
        <v>7.2</v>
      </c>
      <c r="CE31" s="14">
        <f t="shared" si="60"/>
        <v>7.2</v>
      </c>
      <c r="CF31" s="14">
        <f t="shared" si="60"/>
        <v>7.2</v>
      </c>
      <c r="CG31" s="14">
        <f>CF32+5.6</f>
        <v>12.8</v>
      </c>
      <c r="CH31" s="14">
        <f t="shared" si="60"/>
        <v>12.8</v>
      </c>
      <c r="CI31" s="14">
        <f t="shared" si="60"/>
        <v>10</v>
      </c>
      <c r="CJ31" s="14">
        <f t="shared" si="60"/>
        <v>10</v>
      </c>
      <c r="CK31" s="14">
        <f t="shared" si="60"/>
        <v>10</v>
      </c>
      <c r="CL31" s="14">
        <f t="shared" si="60"/>
        <v>10</v>
      </c>
      <c r="CM31" s="14">
        <f>CL32+0.6</f>
        <v>10.6</v>
      </c>
      <c r="CN31" s="14">
        <f t="shared" si="60"/>
        <v>10.6</v>
      </c>
      <c r="CO31" s="14">
        <f t="shared" si="60"/>
        <v>10.6</v>
      </c>
      <c r="CP31" s="14">
        <f t="shared" si="60"/>
        <v>10.6</v>
      </c>
      <c r="CQ31" s="14">
        <f t="shared" si="60"/>
        <v>0</v>
      </c>
      <c r="CR31" s="14">
        <f t="shared" si="60"/>
        <v>0</v>
      </c>
      <c r="CS31" s="14">
        <f>CR32+9.2</f>
        <v>9.2</v>
      </c>
      <c r="CT31" s="14">
        <f t="shared" si="60"/>
        <v>9.2</v>
      </c>
      <c r="CU31" s="14">
        <f t="shared" si="60"/>
        <v>9.2</v>
      </c>
      <c r="CV31" s="14">
        <f t="shared" si="60"/>
        <v>9.2</v>
      </c>
      <c r="CW31" s="14">
        <f t="shared" si="60"/>
        <v>9.2</v>
      </c>
      <c r="CX31" s="14">
        <f>CW32+2.3</f>
        <v>11.5</v>
      </c>
      <c r="CY31" s="14">
        <f t="shared" si="60"/>
        <v>11.5</v>
      </c>
      <c r="CZ31" s="14">
        <f t="shared" si="60"/>
        <v>11.5</v>
      </c>
      <c r="DA31" s="14">
        <f t="shared" si="60"/>
        <v>11.5</v>
      </c>
      <c r="DB31" s="14">
        <f t="shared" si="60"/>
        <v>2.3000000000000007</v>
      </c>
      <c r="DC31" s="14">
        <f t="shared" si="60"/>
        <v>2.3000000000000007</v>
      </c>
      <c r="DD31" s="14">
        <f>DC32</f>
        <v>2.3000000000000007</v>
      </c>
      <c r="DE31" s="14">
        <f>DD32+2.1</f>
        <v>4.4</v>
      </c>
      <c r="DF31" s="14">
        <f t="shared" si="60"/>
        <v>4.4</v>
      </c>
      <c r="DG31" s="14">
        <f t="shared" si="60"/>
        <v>4.4</v>
      </c>
      <c r="DH31" s="14">
        <f t="shared" si="60"/>
        <v>4.4</v>
      </c>
      <c r="DI31" s="14">
        <f t="shared" si="60"/>
        <v>0</v>
      </c>
      <c r="DJ31" s="14">
        <f t="shared" si="60"/>
        <v>0</v>
      </c>
      <c r="DK31" s="14">
        <f t="shared" si="60"/>
        <v>0</v>
      </c>
      <c r="DL31" s="14">
        <f>DK32+21.9</f>
        <v>21.9</v>
      </c>
      <c r="DM31" s="14">
        <f t="shared" si="60"/>
        <v>21.9</v>
      </c>
      <c r="DN31" s="14">
        <f t="shared" si="60"/>
        <v>21.9</v>
      </c>
      <c r="DO31" s="14">
        <f t="shared" si="60"/>
        <v>21.9</v>
      </c>
      <c r="DP31" s="15">
        <f t="shared" si="60"/>
        <v>21.9</v>
      </c>
      <c r="DQ31" s="15">
        <f>DP32+7.5</f>
        <v>29.4</v>
      </c>
      <c r="DR31" s="15">
        <f t="shared" si="60"/>
        <v>7.5</v>
      </c>
      <c r="DS31" s="15">
        <f t="shared" si="60"/>
        <v>7.5</v>
      </c>
      <c r="DT31" s="15">
        <f t="shared" si="60"/>
        <v>7.5</v>
      </c>
      <c r="DU31" s="14">
        <f t="shared" si="60"/>
        <v>7.5</v>
      </c>
      <c r="DV31" s="14">
        <f>DU32+9.7</f>
        <v>17.2</v>
      </c>
      <c r="DW31" s="14">
        <f t="shared" si="60"/>
        <v>17.2</v>
      </c>
      <c r="DX31" s="14">
        <f t="shared" si="60"/>
        <v>17.2</v>
      </c>
      <c r="DY31" s="14">
        <f t="shared" si="60"/>
        <v>17.2</v>
      </c>
      <c r="DZ31" s="14">
        <f t="shared" si="60"/>
        <v>17.2</v>
      </c>
      <c r="EA31" s="14">
        <f t="shared" si="60"/>
        <v>17.2</v>
      </c>
      <c r="EB31" s="14">
        <f t="shared" si="60"/>
        <v>17.2</v>
      </c>
      <c r="EC31" s="14">
        <f t="shared" si="60"/>
        <v>17.2</v>
      </c>
      <c r="ED31" s="14">
        <f aca="true" t="shared" si="61" ref="ED31:GO31">EC32</f>
        <v>0</v>
      </c>
      <c r="EE31" s="14">
        <f t="shared" si="61"/>
        <v>0</v>
      </c>
      <c r="EF31" s="14">
        <f t="shared" si="61"/>
        <v>0</v>
      </c>
      <c r="EG31" s="14">
        <f t="shared" si="61"/>
        <v>0</v>
      </c>
      <c r="EH31" s="14">
        <f t="shared" si="61"/>
        <v>0</v>
      </c>
      <c r="EI31" s="14">
        <f t="shared" si="61"/>
        <v>0</v>
      </c>
      <c r="EJ31" s="14">
        <f t="shared" si="61"/>
        <v>0</v>
      </c>
      <c r="EK31" s="14">
        <f t="shared" si="61"/>
        <v>0</v>
      </c>
      <c r="EL31" s="14">
        <f t="shared" si="61"/>
        <v>0</v>
      </c>
      <c r="EM31" s="14">
        <f t="shared" si="61"/>
        <v>0</v>
      </c>
      <c r="EN31" s="14">
        <f t="shared" si="61"/>
        <v>0</v>
      </c>
      <c r="EO31" s="14">
        <f t="shared" si="61"/>
        <v>0</v>
      </c>
      <c r="EP31" s="14">
        <f t="shared" si="61"/>
        <v>0</v>
      </c>
      <c r="EQ31" s="14">
        <f t="shared" si="61"/>
        <v>0</v>
      </c>
      <c r="ER31" s="14">
        <f>EQ32</f>
        <v>0</v>
      </c>
      <c r="ES31" s="14">
        <f>ER32</f>
        <v>0</v>
      </c>
      <c r="ET31" s="14">
        <f>ES32+3</f>
        <v>3</v>
      </c>
      <c r="EU31" s="14">
        <f t="shared" si="61"/>
        <v>3</v>
      </c>
      <c r="EV31" s="14">
        <f t="shared" si="61"/>
        <v>3</v>
      </c>
      <c r="EW31" s="14">
        <f t="shared" si="61"/>
        <v>3</v>
      </c>
      <c r="EX31" s="14">
        <f t="shared" si="61"/>
        <v>3</v>
      </c>
      <c r="EY31" s="14">
        <f t="shared" si="61"/>
        <v>3</v>
      </c>
      <c r="EZ31" s="14">
        <f t="shared" si="61"/>
        <v>3</v>
      </c>
      <c r="FA31" s="14">
        <f t="shared" si="61"/>
        <v>3</v>
      </c>
      <c r="FB31" s="14">
        <f t="shared" si="61"/>
        <v>3</v>
      </c>
      <c r="FC31" s="14">
        <f t="shared" si="61"/>
        <v>3</v>
      </c>
      <c r="FD31" s="14">
        <f t="shared" si="61"/>
        <v>3</v>
      </c>
      <c r="FE31" s="14">
        <f t="shared" si="61"/>
        <v>3</v>
      </c>
      <c r="FF31" s="14">
        <f>FE32+12.5+6.9</f>
        <v>22.4</v>
      </c>
      <c r="FG31" s="14">
        <f t="shared" si="61"/>
        <v>22.4</v>
      </c>
      <c r="FH31" s="14">
        <f t="shared" si="61"/>
        <v>22.4</v>
      </c>
      <c r="FI31" s="14">
        <f t="shared" si="61"/>
        <v>22.4</v>
      </c>
      <c r="FJ31" s="14">
        <f t="shared" si="61"/>
        <v>22.4</v>
      </c>
      <c r="FK31" s="14">
        <f t="shared" si="61"/>
        <v>22.4</v>
      </c>
      <c r="FL31" s="14">
        <f t="shared" si="61"/>
        <v>22.4</v>
      </c>
      <c r="FM31" s="14">
        <f t="shared" si="61"/>
        <v>22.4</v>
      </c>
      <c r="FN31" s="14">
        <f t="shared" si="61"/>
        <v>22.4</v>
      </c>
      <c r="FO31" s="14">
        <f t="shared" si="61"/>
        <v>22.4</v>
      </c>
      <c r="FP31" s="14">
        <f t="shared" si="61"/>
        <v>22.4</v>
      </c>
      <c r="FQ31" s="14">
        <f t="shared" si="61"/>
        <v>22.4</v>
      </c>
      <c r="FR31" s="14">
        <f t="shared" si="61"/>
        <v>22.4</v>
      </c>
      <c r="FS31" s="14">
        <f t="shared" si="61"/>
        <v>6.899999999999999</v>
      </c>
      <c r="FT31" s="14">
        <f t="shared" si="61"/>
        <v>6.899999999999999</v>
      </c>
      <c r="FU31" s="14">
        <f t="shared" si="61"/>
        <v>6.899999999999999</v>
      </c>
      <c r="FV31" s="14">
        <f t="shared" si="61"/>
        <v>6.899999999999999</v>
      </c>
      <c r="FW31" s="14">
        <f t="shared" si="61"/>
        <v>6.899999999999999</v>
      </c>
      <c r="FX31" s="14">
        <f t="shared" si="61"/>
        <v>6.899999999999999</v>
      </c>
      <c r="FY31" s="14">
        <f t="shared" si="61"/>
        <v>6.899999999999999</v>
      </c>
      <c r="FZ31" s="14">
        <f t="shared" si="61"/>
        <v>-3.1000000000000014</v>
      </c>
      <c r="GA31" s="14">
        <f t="shared" si="61"/>
        <v>-3.1000000000000014</v>
      </c>
      <c r="GB31" s="14">
        <f t="shared" si="61"/>
        <v>-3.1000000000000014</v>
      </c>
      <c r="GC31" s="14">
        <f t="shared" si="61"/>
        <v>-3.1000000000000014</v>
      </c>
      <c r="GD31" s="14">
        <f t="shared" si="61"/>
        <v>-3.1000000000000014</v>
      </c>
      <c r="GE31" s="14">
        <f t="shared" si="61"/>
        <v>-3.1000000000000014</v>
      </c>
      <c r="GF31" s="14">
        <f t="shared" si="61"/>
        <v>-3.1000000000000014</v>
      </c>
      <c r="GG31" s="14">
        <f t="shared" si="61"/>
        <v>-3.1000000000000014</v>
      </c>
      <c r="GH31" s="14">
        <f t="shared" si="61"/>
        <v>-3.1000000000000014</v>
      </c>
      <c r="GI31" s="14">
        <f t="shared" si="61"/>
        <v>-3.1000000000000014</v>
      </c>
      <c r="GJ31" s="14">
        <f t="shared" si="61"/>
        <v>-3.1000000000000014</v>
      </c>
      <c r="GK31" s="14">
        <f t="shared" si="61"/>
        <v>-3.1000000000000014</v>
      </c>
      <c r="GL31" s="14">
        <f t="shared" si="61"/>
        <v>-3.1000000000000014</v>
      </c>
      <c r="GM31" s="14">
        <f t="shared" si="61"/>
        <v>-3.1000000000000014</v>
      </c>
      <c r="GN31" s="14">
        <f t="shared" si="61"/>
        <v>-3.1000000000000014</v>
      </c>
      <c r="GO31" s="14">
        <f t="shared" si="61"/>
        <v>-3.1000000000000014</v>
      </c>
    </row>
    <row r="32" spans="1:197" ht="15">
      <c r="A32" s="2"/>
      <c r="B32" s="4"/>
      <c r="C32" s="12" t="s">
        <v>218</v>
      </c>
      <c r="D32" s="16">
        <f>D31-D30</f>
        <v>6.5</v>
      </c>
      <c r="E32" s="16">
        <f>E31-E30</f>
        <v>6.5</v>
      </c>
      <c r="F32" s="16">
        <f aca="true" t="shared" si="62" ref="F32:BQ32">F31-F30</f>
        <v>6.5</v>
      </c>
      <c r="G32" s="16">
        <f t="shared" si="62"/>
        <v>11.7</v>
      </c>
      <c r="H32" s="16">
        <f t="shared" si="62"/>
        <v>11.7</v>
      </c>
      <c r="I32" s="16">
        <f t="shared" si="62"/>
        <v>11.7</v>
      </c>
      <c r="J32" s="16">
        <f t="shared" si="62"/>
        <v>11.7</v>
      </c>
      <c r="K32" s="16">
        <f t="shared" si="62"/>
        <v>11.7</v>
      </c>
      <c r="L32" s="16">
        <f t="shared" si="62"/>
        <v>11.7</v>
      </c>
      <c r="M32" s="16">
        <f t="shared" si="62"/>
        <v>17.299999999999997</v>
      </c>
      <c r="N32" s="16">
        <f t="shared" si="62"/>
        <v>17.299999999999997</v>
      </c>
      <c r="O32" s="17">
        <f t="shared" si="62"/>
        <v>0</v>
      </c>
      <c r="P32" s="16">
        <f t="shared" si="62"/>
        <v>0</v>
      </c>
      <c r="Q32" s="16">
        <f t="shared" si="62"/>
        <v>0</v>
      </c>
      <c r="R32" s="16">
        <f t="shared" si="62"/>
        <v>0</v>
      </c>
      <c r="S32" s="16">
        <f t="shared" si="62"/>
        <v>22.4</v>
      </c>
      <c r="T32" s="16">
        <f t="shared" si="62"/>
        <v>0</v>
      </c>
      <c r="U32" s="16">
        <f t="shared" si="62"/>
        <v>0</v>
      </c>
      <c r="V32" s="16">
        <f t="shared" si="62"/>
        <v>0</v>
      </c>
      <c r="W32" s="16">
        <f t="shared" si="62"/>
        <v>0</v>
      </c>
      <c r="X32" s="17">
        <f t="shared" si="62"/>
        <v>0</v>
      </c>
      <c r="Y32" s="16">
        <f t="shared" si="62"/>
        <v>20</v>
      </c>
      <c r="Z32" s="16">
        <f t="shared" si="62"/>
        <v>20</v>
      </c>
      <c r="AA32" s="17">
        <f t="shared" si="62"/>
        <v>20</v>
      </c>
      <c r="AB32" s="16">
        <f t="shared" si="62"/>
        <v>20</v>
      </c>
      <c r="AC32" s="16">
        <f t="shared" si="62"/>
        <v>20</v>
      </c>
      <c r="AD32" s="17">
        <f t="shared" si="62"/>
        <v>20</v>
      </c>
      <c r="AE32" s="17">
        <f t="shared" si="62"/>
        <v>22.8</v>
      </c>
      <c r="AF32" s="16">
        <f t="shared" si="62"/>
        <v>22.8</v>
      </c>
      <c r="AG32" s="16">
        <f t="shared" si="62"/>
        <v>22.8</v>
      </c>
      <c r="AH32" s="16">
        <f t="shared" si="62"/>
        <v>0</v>
      </c>
      <c r="AI32" s="16">
        <f t="shared" si="62"/>
        <v>0</v>
      </c>
      <c r="AJ32" s="16">
        <f t="shared" si="62"/>
        <v>0</v>
      </c>
      <c r="AK32" s="16">
        <f t="shared" si="62"/>
        <v>4.7</v>
      </c>
      <c r="AL32" s="16">
        <f t="shared" si="62"/>
        <v>4.7</v>
      </c>
      <c r="AM32" s="16">
        <f t="shared" si="62"/>
        <v>4.7</v>
      </c>
      <c r="AN32" s="16">
        <f t="shared" si="62"/>
        <v>4.7</v>
      </c>
      <c r="AO32" s="16">
        <f t="shared" si="62"/>
        <v>4.7</v>
      </c>
      <c r="AP32" s="16">
        <f t="shared" si="62"/>
        <v>4.7</v>
      </c>
      <c r="AQ32" s="16">
        <f t="shared" si="62"/>
        <v>15.2</v>
      </c>
      <c r="AR32" s="16">
        <f t="shared" si="62"/>
        <v>15.2</v>
      </c>
      <c r="AS32" s="16">
        <f t="shared" si="62"/>
        <v>15.2</v>
      </c>
      <c r="AT32" s="16">
        <f t="shared" si="62"/>
        <v>0</v>
      </c>
      <c r="AU32" s="16">
        <f t="shared" si="62"/>
        <v>0</v>
      </c>
      <c r="AV32" s="16">
        <f t="shared" si="62"/>
        <v>0</v>
      </c>
      <c r="AW32" s="16">
        <f t="shared" si="62"/>
        <v>0</v>
      </c>
      <c r="AX32" s="16">
        <f t="shared" si="62"/>
        <v>6.2</v>
      </c>
      <c r="AY32" s="16">
        <f t="shared" si="62"/>
        <v>6.2</v>
      </c>
      <c r="AZ32" s="16">
        <f t="shared" si="62"/>
        <v>6.2</v>
      </c>
      <c r="BA32" s="16">
        <f t="shared" si="62"/>
        <v>6.2</v>
      </c>
      <c r="BB32" s="16">
        <f t="shared" si="62"/>
        <v>6.2</v>
      </c>
      <c r="BC32" s="16">
        <f t="shared" si="62"/>
        <v>10</v>
      </c>
      <c r="BD32" s="16">
        <f t="shared" si="62"/>
        <v>10</v>
      </c>
      <c r="BE32" s="16">
        <f t="shared" si="62"/>
        <v>10</v>
      </c>
      <c r="BF32" s="16">
        <f t="shared" si="62"/>
        <v>10</v>
      </c>
      <c r="BG32" s="16">
        <f t="shared" si="62"/>
        <v>10</v>
      </c>
      <c r="BH32" s="16">
        <f t="shared" si="62"/>
        <v>10</v>
      </c>
      <c r="BI32" s="16">
        <f t="shared" si="62"/>
        <v>10</v>
      </c>
      <c r="BJ32" s="16">
        <f t="shared" si="62"/>
        <v>15.4</v>
      </c>
      <c r="BK32" s="16">
        <f t="shared" si="62"/>
        <v>15.4</v>
      </c>
      <c r="BL32" s="16">
        <f t="shared" si="62"/>
        <v>15.4</v>
      </c>
      <c r="BM32" s="16">
        <f t="shared" si="62"/>
        <v>15.4</v>
      </c>
      <c r="BN32" s="16">
        <f t="shared" si="62"/>
        <v>15.4</v>
      </c>
      <c r="BO32" s="16">
        <f t="shared" si="62"/>
        <v>18.3</v>
      </c>
      <c r="BP32" s="16">
        <f t="shared" si="62"/>
        <v>8.3</v>
      </c>
      <c r="BQ32" s="16">
        <f t="shared" si="62"/>
        <v>0</v>
      </c>
      <c r="BR32" s="16">
        <f aca="true" t="shared" si="63" ref="BR32:EC32">BR31-BR30</f>
        <v>0</v>
      </c>
      <c r="BS32" s="16">
        <f t="shared" si="63"/>
        <v>0</v>
      </c>
      <c r="BT32" s="27">
        <f t="shared" si="63"/>
        <v>0</v>
      </c>
      <c r="BU32" s="27">
        <f t="shared" si="63"/>
        <v>2.8</v>
      </c>
      <c r="BV32" s="27">
        <f t="shared" si="63"/>
        <v>2.8</v>
      </c>
      <c r="BW32" s="16">
        <f t="shared" si="63"/>
        <v>2.8</v>
      </c>
      <c r="BX32" s="16">
        <f t="shared" si="63"/>
        <v>2.8</v>
      </c>
      <c r="BY32" s="16">
        <f t="shared" si="63"/>
        <v>2.8</v>
      </c>
      <c r="BZ32" s="16">
        <f t="shared" si="63"/>
        <v>2.8</v>
      </c>
      <c r="CA32" s="16">
        <f t="shared" si="63"/>
        <v>2.8</v>
      </c>
      <c r="CB32" s="16">
        <f t="shared" si="63"/>
        <v>7.2</v>
      </c>
      <c r="CC32" s="16">
        <f t="shared" si="63"/>
        <v>7.2</v>
      </c>
      <c r="CD32" s="16">
        <f t="shared" si="63"/>
        <v>7.2</v>
      </c>
      <c r="CE32" s="16">
        <f t="shared" si="63"/>
        <v>7.2</v>
      </c>
      <c r="CF32" s="16">
        <f t="shared" si="63"/>
        <v>7.2</v>
      </c>
      <c r="CG32" s="16">
        <f t="shared" si="63"/>
        <v>12.8</v>
      </c>
      <c r="CH32" s="16">
        <f t="shared" si="63"/>
        <v>10</v>
      </c>
      <c r="CI32" s="16">
        <f t="shared" si="63"/>
        <v>10</v>
      </c>
      <c r="CJ32" s="16">
        <f t="shared" si="63"/>
        <v>10</v>
      </c>
      <c r="CK32" s="16">
        <f t="shared" si="63"/>
        <v>10</v>
      </c>
      <c r="CL32" s="16">
        <f t="shared" si="63"/>
        <v>10</v>
      </c>
      <c r="CM32" s="16">
        <f t="shared" si="63"/>
        <v>10.6</v>
      </c>
      <c r="CN32" s="16">
        <f t="shared" si="63"/>
        <v>10.6</v>
      </c>
      <c r="CO32" s="16">
        <f t="shared" si="63"/>
        <v>10.6</v>
      </c>
      <c r="CP32" s="16">
        <f t="shared" si="63"/>
        <v>0</v>
      </c>
      <c r="CQ32" s="16">
        <f t="shared" si="63"/>
        <v>0</v>
      </c>
      <c r="CR32" s="16">
        <f t="shared" si="63"/>
        <v>0</v>
      </c>
      <c r="CS32" s="16">
        <f t="shared" si="63"/>
        <v>9.2</v>
      </c>
      <c r="CT32" s="16">
        <f t="shared" si="63"/>
        <v>9.2</v>
      </c>
      <c r="CU32" s="16">
        <f t="shared" si="63"/>
        <v>9.2</v>
      </c>
      <c r="CV32" s="16">
        <f t="shared" si="63"/>
        <v>9.2</v>
      </c>
      <c r="CW32" s="16">
        <f t="shared" si="63"/>
        <v>9.2</v>
      </c>
      <c r="CX32" s="16">
        <f t="shared" si="63"/>
        <v>11.5</v>
      </c>
      <c r="CY32" s="16">
        <f t="shared" si="63"/>
        <v>11.5</v>
      </c>
      <c r="CZ32" s="16">
        <f t="shared" si="63"/>
        <v>11.5</v>
      </c>
      <c r="DA32" s="16">
        <f t="shared" si="63"/>
        <v>2.3000000000000007</v>
      </c>
      <c r="DB32" s="16">
        <f t="shared" si="63"/>
        <v>2.3000000000000007</v>
      </c>
      <c r="DC32" s="16">
        <f t="shared" si="63"/>
        <v>2.3000000000000007</v>
      </c>
      <c r="DD32" s="16">
        <f t="shared" si="63"/>
        <v>2.3000000000000007</v>
      </c>
      <c r="DE32" s="16">
        <f t="shared" si="63"/>
        <v>4.4</v>
      </c>
      <c r="DF32" s="16">
        <f t="shared" si="63"/>
        <v>4.4</v>
      </c>
      <c r="DG32" s="16">
        <f t="shared" si="63"/>
        <v>4.4</v>
      </c>
      <c r="DH32" s="16">
        <f t="shared" si="63"/>
        <v>0</v>
      </c>
      <c r="DI32" s="16">
        <f t="shared" si="63"/>
        <v>0</v>
      </c>
      <c r="DJ32" s="16">
        <f t="shared" si="63"/>
        <v>0</v>
      </c>
      <c r="DK32" s="16">
        <f t="shared" si="63"/>
        <v>0</v>
      </c>
      <c r="DL32" s="16">
        <f t="shared" si="63"/>
        <v>21.9</v>
      </c>
      <c r="DM32" s="16">
        <f t="shared" si="63"/>
        <v>21.9</v>
      </c>
      <c r="DN32" s="16">
        <f t="shared" si="63"/>
        <v>21.9</v>
      </c>
      <c r="DO32" s="16">
        <f t="shared" si="63"/>
        <v>21.9</v>
      </c>
      <c r="DP32" s="17">
        <f t="shared" si="63"/>
        <v>21.9</v>
      </c>
      <c r="DQ32" s="17">
        <f t="shared" si="63"/>
        <v>7.5</v>
      </c>
      <c r="DR32" s="17">
        <f t="shared" si="63"/>
        <v>7.5</v>
      </c>
      <c r="DS32" s="17">
        <f t="shared" si="63"/>
        <v>7.5</v>
      </c>
      <c r="DT32" s="17">
        <f t="shared" si="63"/>
        <v>7.5</v>
      </c>
      <c r="DU32" s="16">
        <f t="shared" si="63"/>
        <v>7.5</v>
      </c>
      <c r="DV32" s="16">
        <f t="shared" si="63"/>
        <v>17.2</v>
      </c>
      <c r="DW32" s="16">
        <f t="shared" si="63"/>
        <v>17.2</v>
      </c>
      <c r="DX32" s="16">
        <f t="shared" si="63"/>
        <v>17.2</v>
      </c>
      <c r="DY32" s="16">
        <f t="shared" si="63"/>
        <v>17.2</v>
      </c>
      <c r="DZ32" s="16">
        <f t="shared" si="63"/>
        <v>17.2</v>
      </c>
      <c r="EA32" s="16">
        <f t="shared" si="63"/>
        <v>17.2</v>
      </c>
      <c r="EB32" s="16">
        <f t="shared" si="63"/>
        <v>17.2</v>
      </c>
      <c r="EC32" s="16">
        <f t="shared" si="63"/>
        <v>0</v>
      </c>
      <c r="ED32" s="16">
        <f aca="true" t="shared" si="64" ref="ED32:GO32">ED31-ED30</f>
        <v>0</v>
      </c>
      <c r="EE32" s="16">
        <f t="shared" si="64"/>
        <v>0</v>
      </c>
      <c r="EF32" s="16">
        <f t="shared" si="64"/>
        <v>0</v>
      </c>
      <c r="EG32" s="16">
        <f t="shared" si="64"/>
        <v>0</v>
      </c>
      <c r="EH32" s="16">
        <f t="shared" si="64"/>
        <v>0</v>
      </c>
      <c r="EI32" s="16">
        <f t="shared" si="64"/>
        <v>0</v>
      </c>
      <c r="EJ32" s="16">
        <f t="shared" si="64"/>
        <v>0</v>
      </c>
      <c r="EK32" s="16">
        <f t="shared" si="64"/>
        <v>0</v>
      </c>
      <c r="EL32" s="16">
        <f t="shared" si="64"/>
        <v>0</v>
      </c>
      <c r="EM32" s="16">
        <f t="shared" si="64"/>
        <v>0</v>
      </c>
      <c r="EN32" s="16">
        <f t="shared" si="64"/>
        <v>0</v>
      </c>
      <c r="EO32" s="16">
        <f t="shared" si="64"/>
        <v>0</v>
      </c>
      <c r="EP32" s="16">
        <f t="shared" si="64"/>
        <v>0</v>
      </c>
      <c r="EQ32" s="16">
        <f t="shared" si="64"/>
        <v>0</v>
      </c>
      <c r="ER32" s="16">
        <f t="shared" si="64"/>
        <v>0</v>
      </c>
      <c r="ES32" s="16">
        <f t="shared" si="64"/>
        <v>0</v>
      </c>
      <c r="ET32" s="16">
        <f t="shared" si="64"/>
        <v>3</v>
      </c>
      <c r="EU32" s="16">
        <f t="shared" si="64"/>
        <v>3</v>
      </c>
      <c r="EV32" s="16">
        <f t="shared" si="64"/>
        <v>3</v>
      </c>
      <c r="EW32" s="16">
        <f t="shared" si="64"/>
        <v>3</v>
      </c>
      <c r="EX32" s="16">
        <f t="shared" si="64"/>
        <v>3</v>
      </c>
      <c r="EY32" s="16">
        <f t="shared" si="64"/>
        <v>3</v>
      </c>
      <c r="EZ32" s="16">
        <f t="shared" si="64"/>
        <v>3</v>
      </c>
      <c r="FA32" s="16">
        <f t="shared" si="64"/>
        <v>3</v>
      </c>
      <c r="FB32" s="16">
        <f t="shared" si="64"/>
        <v>3</v>
      </c>
      <c r="FC32" s="16">
        <f t="shared" si="64"/>
        <v>3</v>
      </c>
      <c r="FD32" s="16">
        <f t="shared" si="64"/>
        <v>3</v>
      </c>
      <c r="FE32" s="16">
        <f t="shared" si="64"/>
        <v>3</v>
      </c>
      <c r="FF32" s="16">
        <f t="shared" si="64"/>
        <v>22.4</v>
      </c>
      <c r="FG32" s="16">
        <f t="shared" si="64"/>
        <v>22.4</v>
      </c>
      <c r="FH32" s="16">
        <f t="shared" si="64"/>
        <v>22.4</v>
      </c>
      <c r="FI32" s="16">
        <f t="shared" si="64"/>
        <v>22.4</v>
      </c>
      <c r="FJ32" s="16">
        <f t="shared" si="64"/>
        <v>22.4</v>
      </c>
      <c r="FK32" s="16">
        <f t="shared" si="64"/>
        <v>22.4</v>
      </c>
      <c r="FL32" s="16">
        <f t="shared" si="64"/>
        <v>22.4</v>
      </c>
      <c r="FM32" s="16">
        <f t="shared" si="64"/>
        <v>22.4</v>
      </c>
      <c r="FN32" s="16">
        <f t="shared" si="64"/>
        <v>22.4</v>
      </c>
      <c r="FO32" s="16">
        <f t="shared" si="64"/>
        <v>22.4</v>
      </c>
      <c r="FP32" s="16">
        <f t="shared" si="64"/>
        <v>22.4</v>
      </c>
      <c r="FQ32" s="16">
        <f t="shared" si="64"/>
        <v>22.4</v>
      </c>
      <c r="FR32" s="16">
        <f t="shared" si="64"/>
        <v>6.899999999999999</v>
      </c>
      <c r="FS32" s="16">
        <f t="shared" si="64"/>
        <v>6.899999999999999</v>
      </c>
      <c r="FT32" s="16">
        <f t="shared" si="64"/>
        <v>6.899999999999999</v>
      </c>
      <c r="FU32" s="16">
        <f t="shared" si="64"/>
        <v>6.899999999999999</v>
      </c>
      <c r="FV32" s="16">
        <f t="shared" si="64"/>
        <v>6.899999999999999</v>
      </c>
      <c r="FW32" s="16">
        <f t="shared" si="64"/>
        <v>6.899999999999999</v>
      </c>
      <c r="FX32" s="16">
        <f t="shared" si="64"/>
        <v>6.899999999999999</v>
      </c>
      <c r="FY32" s="16">
        <f t="shared" si="64"/>
        <v>-3.1000000000000014</v>
      </c>
      <c r="FZ32" s="16">
        <f t="shared" si="64"/>
        <v>-3.1000000000000014</v>
      </c>
      <c r="GA32" s="16">
        <f t="shared" si="64"/>
        <v>-3.1000000000000014</v>
      </c>
      <c r="GB32" s="16">
        <f t="shared" si="64"/>
        <v>-3.1000000000000014</v>
      </c>
      <c r="GC32" s="16">
        <f t="shared" si="64"/>
        <v>-3.1000000000000014</v>
      </c>
      <c r="GD32" s="16">
        <f t="shared" si="64"/>
        <v>-3.1000000000000014</v>
      </c>
      <c r="GE32" s="16">
        <f t="shared" si="64"/>
        <v>-3.1000000000000014</v>
      </c>
      <c r="GF32" s="16">
        <f t="shared" si="64"/>
        <v>-3.1000000000000014</v>
      </c>
      <c r="GG32" s="16">
        <f t="shared" si="64"/>
        <v>-3.1000000000000014</v>
      </c>
      <c r="GH32" s="16">
        <f t="shared" si="64"/>
        <v>-3.1000000000000014</v>
      </c>
      <c r="GI32" s="16">
        <f t="shared" si="64"/>
        <v>-3.1000000000000014</v>
      </c>
      <c r="GJ32" s="16">
        <f t="shared" si="64"/>
        <v>-3.1000000000000014</v>
      </c>
      <c r="GK32" s="16">
        <f t="shared" si="64"/>
        <v>-3.1000000000000014</v>
      </c>
      <c r="GL32" s="16">
        <f t="shared" si="64"/>
        <v>-3.1000000000000014</v>
      </c>
      <c r="GM32" s="16">
        <f t="shared" si="64"/>
        <v>-3.1000000000000014</v>
      </c>
      <c r="GN32" s="16">
        <f t="shared" si="64"/>
        <v>-3.1000000000000014</v>
      </c>
      <c r="GO32" s="16">
        <f t="shared" si="64"/>
        <v>-3.1000000000000014</v>
      </c>
    </row>
    <row r="33" spans="1:256" s="9" customFormat="1" ht="15">
      <c r="A33" s="2" t="s">
        <v>228</v>
      </c>
      <c r="B33" s="4">
        <v>5</v>
      </c>
      <c r="C33" s="12" t="s">
        <v>216</v>
      </c>
      <c r="D33" s="19">
        <v>30</v>
      </c>
      <c r="F33" s="19">
        <v>24.5</v>
      </c>
      <c r="O33" s="19">
        <v>47.1</v>
      </c>
      <c r="S33" s="19">
        <v>21</v>
      </c>
      <c r="X33" s="29"/>
      <c r="Y33" s="19">
        <v>32.7</v>
      </c>
      <c r="AA33" s="29"/>
      <c r="AD33" s="19">
        <v>18.7</v>
      </c>
      <c r="AE33" s="29"/>
      <c r="AF33" s="19">
        <v>25.6</v>
      </c>
      <c r="AG33" s="19">
        <v>18.7</v>
      </c>
      <c r="AN33" s="19">
        <v>30</v>
      </c>
      <c r="AP33" s="19">
        <v>3.6</v>
      </c>
      <c r="AR33" s="19">
        <v>42.3</v>
      </c>
      <c r="AV33" s="30">
        <v>45.7</v>
      </c>
      <c r="BB33" s="30">
        <v>32.9</v>
      </c>
      <c r="BL33" s="49">
        <v>25</v>
      </c>
      <c r="BP33" s="19">
        <v>58.3</v>
      </c>
      <c r="BT33" s="31"/>
      <c r="BU33" s="31"/>
      <c r="BV33" s="31"/>
      <c r="BW33" s="30">
        <v>33.5</v>
      </c>
      <c r="BZ33" s="30">
        <v>22.7</v>
      </c>
      <c r="CG33" s="30">
        <v>31.6</v>
      </c>
      <c r="CH33" s="30">
        <v>9.6</v>
      </c>
      <c r="CP33" s="19">
        <v>30.3</v>
      </c>
      <c r="CR33" s="30">
        <v>7.3</v>
      </c>
      <c r="CU33" s="30">
        <v>23.5</v>
      </c>
      <c r="CV33" s="30">
        <v>20</v>
      </c>
      <c r="CZ33" s="30">
        <v>46.4</v>
      </c>
      <c r="DD33" s="30">
        <v>32.2</v>
      </c>
      <c r="DH33" s="30">
        <v>2.5</v>
      </c>
      <c r="DP33" s="19">
        <v>37.9</v>
      </c>
      <c r="DQ33" s="30">
        <v>27.5</v>
      </c>
      <c r="DR33" s="29"/>
      <c r="DS33" s="19">
        <v>7.2</v>
      </c>
      <c r="DT33" s="29"/>
      <c r="DX33" s="30">
        <v>18.9</v>
      </c>
      <c r="EB33" s="30">
        <v>31.5</v>
      </c>
      <c r="EF33" s="19">
        <v>11.7</v>
      </c>
      <c r="EH33" s="19">
        <v>20</v>
      </c>
      <c r="EI33" s="19">
        <v>19.9</v>
      </c>
      <c r="EP33" s="19">
        <v>35.6</v>
      </c>
      <c r="EV33" s="30">
        <v>14.6</v>
      </c>
      <c r="EX33" s="19">
        <v>23.4</v>
      </c>
      <c r="EZ33" s="19">
        <v>17.6</v>
      </c>
      <c r="FA33" s="30">
        <v>20.2</v>
      </c>
      <c r="FF33" s="30">
        <v>21.1</v>
      </c>
      <c r="FR33" s="9">
        <v>35</v>
      </c>
      <c r="FY33" s="9">
        <v>25</v>
      </c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197" s="42" customFormat="1" ht="15">
      <c r="A34" s="32"/>
      <c r="B34" s="28"/>
      <c r="C34" s="24" t="s">
        <v>217</v>
      </c>
      <c r="D34" s="25">
        <v>24.5</v>
      </c>
      <c r="E34" s="25">
        <f>D35</f>
        <v>-5.5</v>
      </c>
      <c r="F34" s="25">
        <f>E35+23.5+2+17.5</f>
        <v>37.5</v>
      </c>
      <c r="G34" s="25">
        <f>F35+1.6+14.9</f>
        <v>29.5</v>
      </c>
      <c r="H34" s="25">
        <f>G35+1.6+1.3</f>
        <v>32.4</v>
      </c>
      <c r="I34" s="25">
        <f aca="true" t="shared" si="65" ref="I34:BQ34">H35</f>
        <v>32.4</v>
      </c>
      <c r="J34" s="25">
        <f t="shared" si="65"/>
        <v>32.4</v>
      </c>
      <c r="K34" s="25">
        <f t="shared" si="65"/>
        <v>32.4</v>
      </c>
      <c r="L34" s="25">
        <f>K35+15.4+1.4+11.3</f>
        <v>60.5</v>
      </c>
      <c r="M34" s="25">
        <f>L35+14.9+2</f>
        <v>77.4</v>
      </c>
      <c r="N34" s="25">
        <f t="shared" si="65"/>
        <v>77.4</v>
      </c>
      <c r="O34" s="37">
        <f>N35+1.1</f>
        <v>78.5</v>
      </c>
      <c r="P34" s="25">
        <f t="shared" si="65"/>
        <v>31.4</v>
      </c>
      <c r="Q34" s="25">
        <f t="shared" si="65"/>
        <v>31.4</v>
      </c>
      <c r="R34" s="25">
        <f>Q35+16.9+1.6</f>
        <v>49.9</v>
      </c>
      <c r="S34" s="25">
        <f t="shared" si="65"/>
        <v>49.9</v>
      </c>
      <c r="T34" s="25">
        <f>S35+1.3</f>
        <v>30.2</v>
      </c>
      <c r="U34" s="25">
        <f t="shared" si="65"/>
        <v>30.2</v>
      </c>
      <c r="V34" s="25">
        <f t="shared" si="65"/>
        <v>30.2</v>
      </c>
      <c r="W34" s="25">
        <f t="shared" si="65"/>
        <v>30.2</v>
      </c>
      <c r="X34" s="37">
        <f>W35+26.2+2.5</f>
        <v>58.9</v>
      </c>
      <c r="Y34" s="25">
        <f>X35</f>
        <v>58.9</v>
      </c>
      <c r="Z34" s="25">
        <f>Y35+7.4</f>
        <v>33.599999999999994</v>
      </c>
      <c r="AA34" s="37">
        <f t="shared" si="65"/>
        <v>33.599999999999994</v>
      </c>
      <c r="AB34" s="25">
        <f t="shared" si="65"/>
        <v>33.599999999999994</v>
      </c>
      <c r="AC34" s="25">
        <f t="shared" si="65"/>
        <v>33.599999999999994</v>
      </c>
      <c r="AD34" s="37">
        <f>AC35+23.8+1.8</f>
        <v>59.19999999999999</v>
      </c>
      <c r="AE34" s="37">
        <f>AD35+2.6+16.1</f>
        <v>59.19999999999999</v>
      </c>
      <c r="AF34" s="25">
        <f t="shared" si="65"/>
        <v>59.19999999999999</v>
      </c>
      <c r="AG34" s="25">
        <f>AF35+1</f>
        <v>34.59999999999999</v>
      </c>
      <c r="AH34" s="25">
        <f t="shared" si="65"/>
        <v>15.899999999999988</v>
      </c>
      <c r="AI34" s="25">
        <f t="shared" si="65"/>
        <v>15.899999999999988</v>
      </c>
      <c r="AJ34" s="25">
        <f>AI35+18+1.1+11.2</f>
        <v>46.19999999999999</v>
      </c>
      <c r="AK34" s="25">
        <f>AJ35+2.4</f>
        <v>48.59999999999999</v>
      </c>
      <c r="AL34" s="25">
        <f t="shared" si="65"/>
        <v>48.59999999999999</v>
      </c>
      <c r="AM34" s="25">
        <f>AL35+1.4</f>
        <v>49.999999999999986</v>
      </c>
      <c r="AN34" s="25">
        <f t="shared" si="65"/>
        <v>49.999999999999986</v>
      </c>
      <c r="AO34" s="25">
        <f t="shared" si="65"/>
        <v>19.999999999999986</v>
      </c>
      <c r="AP34" s="25">
        <f>AO35+31.3+6.5+1.2+2</f>
        <v>60.999999999999986</v>
      </c>
      <c r="AQ34" s="25">
        <f t="shared" si="65"/>
        <v>57.399999999999984</v>
      </c>
      <c r="AR34" s="25">
        <f t="shared" si="65"/>
        <v>57.399999999999984</v>
      </c>
      <c r="AS34" s="25">
        <f>AR35+2.1</f>
        <v>17.19999999999999</v>
      </c>
      <c r="AT34" s="25">
        <f t="shared" si="65"/>
        <v>17.19999999999999</v>
      </c>
      <c r="AU34" s="25">
        <f t="shared" si="65"/>
        <v>17.19999999999999</v>
      </c>
      <c r="AV34" s="25">
        <f>AU35+28.8+1.9+1.6</f>
        <v>49.499999999999986</v>
      </c>
      <c r="AW34" s="25">
        <f t="shared" si="65"/>
        <v>3.799999999999983</v>
      </c>
      <c r="AX34" s="25">
        <f t="shared" si="65"/>
        <v>3.799999999999983</v>
      </c>
      <c r="AY34" s="25">
        <f t="shared" si="65"/>
        <v>3.799999999999983</v>
      </c>
      <c r="AZ34" s="25">
        <f>AY35</f>
        <v>3.799999999999983</v>
      </c>
      <c r="BA34" s="25">
        <f>AZ35+1.8</f>
        <v>5.599999999999983</v>
      </c>
      <c r="BB34" s="25">
        <f>BA35+27.3+1.7</f>
        <v>34.59999999999999</v>
      </c>
      <c r="BC34" s="25">
        <f t="shared" si="65"/>
        <v>1.6999999999999886</v>
      </c>
      <c r="BD34" s="25">
        <f>BC35+1.4</f>
        <v>3.0999999999999885</v>
      </c>
      <c r="BE34" s="25">
        <f t="shared" si="65"/>
        <v>3.0999999999999885</v>
      </c>
      <c r="BF34" s="25">
        <f t="shared" si="65"/>
        <v>3.0999999999999885</v>
      </c>
      <c r="BG34" s="25">
        <f t="shared" si="65"/>
        <v>3.0999999999999885</v>
      </c>
      <c r="BH34" s="25">
        <f>BG35+27.7+1.7</f>
        <v>32.499999999999986</v>
      </c>
      <c r="BI34" s="25">
        <f>BH35+1.8</f>
        <v>34.29999999999998</v>
      </c>
      <c r="BJ34" s="25">
        <f>BI35+19.2</f>
        <v>53.499999999999986</v>
      </c>
      <c r="BK34" s="25">
        <f>BJ35+2.1</f>
        <v>55.59999999999999</v>
      </c>
      <c r="BL34" s="25">
        <f t="shared" si="65"/>
        <v>55.59999999999999</v>
      </c>
      <c r="BM34" s="25">
        <f t="shared" si="65"/>
        <v>30.599999999999987</v>
      </c>
      <c r="BN34" s="25">
        <f>BM35+29.8</f>
        <v>60.39999999999999</v>
      </c>
      <c r="BO34" s="25">
        <f>BN35+2.6</f>
        <v>62.99999999999999</v>
      </c>
      <c r="BP34" s="25">
        <f>BO35+2</f>
        <v>65</v>
      </c>
      <c r="BQ34" s="25">
        <f t="shared" si="65"/>
        <v>6.700000000000003</v>
      </c>
      <c r="BR34" s="25">
        <f aca="true" t="shared" si="66" ref="BR34:EC34">BQ35</f>
        <v>6.700000000000003</v>
      </c>
      <c r="BS34" s="25">
        <f>BR35+2.2</f>
        <v>8.900000000000002</v>
      </c>
      <c r="BT34" s="40">
        <f>BS35+24.6</f>
        <v>33.5</v>
      </c>
      <c r="BU34" s="40">
        <f>BT35</f>
        <v>33.5</v>
      </c>
      <c r="BV34" s="40">
        <f t="shared" si="66"/>
        <v>33.5</v>
      </c>
      <c r="BW34" s="25">
        <f t="shared" si="66"/>
        <v>33.5</v>
      </c>
      <c r="BX34" s="25">
        <f t="shared" si="66"/>
        <v>0</v>
      </c>
      <c r="BY34" s="25">
        <f t="shared" si="66"/>
        <v>0</v>
      </c>
      <c r="BZ34" s="25">
        <f>BY35+22.7</f>
        <v>22.7</v>
      </c>
      <c r="CA34" s="25">
        <f t="shared" si="66"/>
        <v>0</v>
      </c>
      <c r="CB34" s="25">
        <f t="shared" si="66"/>
        <v>0</v>
      </c>
      <c r="CC34" s="25">
        <f t="shared" si="66"/>
        <v>0</v>
      </c>
      <c r="CD34" s="25">
        <f t="shared" si="66"/>
        <v>0</v>
      </c>
      <c r="CE34" s="25">
        <f t="shared" si="66"/>
        <v>0</v>
      </c>
      <c r="CF34" s="25">
        <f>CE35+31.6</f>
        <v>31.6</v>
      </c>
      <c r="CG34" s="25">
        <f>CF35+2.1+2+1.7+3.8</f>
        <v>41.2</v>
      </c>
      <c r="CH34" s="25">
        <f t="shared" si="66"/>
        <v>9.600000000000001</v>
      </c>
      <c r="CI34" s="25">
        <f t="shared" si="66"/>
        <v>0</v>
      </c>
      <c r="CJ34" s="25">
        <f t="shared" si="66"/>
        <v>0</v>
      </c>
      <c r="CK34" s="25">
        <f>CJ35+16.6+13.7</f>
        <v>30.3</v>
      </c>
      <c r="CL34" s="25">
        <f t="shared" si="66"/>
        <v>30.3</v>
      </c>
      <c r="CM34" s="25">
        <f t="shared" si="66"/>
        <v>30.3</v>
      </c>
      <c r="CN34" s="25">
        <f t="shared" si="66"/>
        <v>30.3</v>
      </c>
      <c r="CO34" s="25">
        <f>CN35+7.3</f>
        <v>37.6</v>
      </c>
      <c r="CP34" s="25">
        <f t="shared" si="66"/>
        <v>37.6</v>
      </c>
      <c r="CQ34" s="25">
        <f t="shared" si="66"/>
        <v>7.300000000000001</v>
      </c>
      <c r="CR34" s="25">
        <f>CQ35+23.5</f>
        <v>30.8</v>
      </c>
      <c r="CS34" s="25">
        <f t="shared" si="66"/>
        <v>23.5</v>
      </c>
      <c r="CT34" s="25">
        <f>CS35+12.3+2+1.6+3.1+1</f>
        <v>43.5</v>
      </c>
      <c r="CU34" s="25">
        <f t="shared" si="66"/>
        <v>43.5</v>
      </c>
      <c r="CV34" s="25">
        <f t="shared" si="66"/>
        <v>20</v>
      </c>
      <c r="CW34" s="25">
        <f t="shared" si="66"/>
        <v>0</v>
      </c>
      <c r="CX34" s="25">
        <f>CW35+24.8+21.6</f>
        <v>46.400000000000006</v>
      </c>
      <c r="CY34" s="25">
        <f t="shared" si="66"/>
        <v>46.400000000000006</v>
      </c>
      <c r="CZ34" s="25">
        <f t="shared" si="66"/>
        <v>46.400000000000006</v>
      </c>
      <c r="DA34" s="25">
        <f t="shared" si="66"/>
        <v>0</v>
      </c>
      <c r="DB34" s="25">
        <f t="shared" si="66"/>
        <v>0</v>
      </c>
      <c r="DC34" s="25">
        <f>DB35+2+1.9+1.7</f>
        <v>5.6</v>
      </c>
      <c r="DD34" s="25">
        <f>DC35+22.7+2.3+1.6</f>
        <v>32.199999999999996</v>
      </c>
      <c r="DE34" s="25">
        <f t="shared" si="66"/>
        <v>0</v>
      </c>
      <c r="DF34" s="25">
        <f t="shared" si="66"/>
        <v>0</v>
      </c>
      <c r="DG34" s="25">
        <f>DF35+1.5+1</f>
        <v>2.5</v>
      </c>
      <c r="DH34" s="25">
        <f t="shared" si="66"/>
        <v>2.5</v>
      </c>
      <c r="DI34" s="25">
        <f t="shared" si="66"/>
        <v>0</v>
      </c>
      <c r="DJ34" s="25">
        <f>DI35+17.6</f>
        <v>17.6</v>
      </c>
      <c r="DK34" s="25">
        <f t="shared" si="66"/>
        <v>17.6</v>
      </c>
      <c r="DL34" s="25">
        <f t="shared" si="66"/>
        <v>17.6</v>
      </c>
      <c r="DM34" s="25">
        <f>DL35+1.5+2.6+16.2</f>
        <v>37.900000000000006</v>
      </c>
      <c r="DN34" s="25">
        <f t="shared" si="66"/>
        <v>37.900000000000006</v>
      </c>
      <c r="DO34" s="25">
        <f>DN35+27.5</f>
        <v>65.4</v>
      </c>
      <c r="DP34" s="37">
        <f t="shared" si="66"/>
        <v>65.4</v>
      </c>
      <c r="DQ34" s="37">
        <f>DP35</f>
        <v>27.500000000000007</v>
      </c>
      <c r="DR34" s="37">
        <f t="shared" si="66"/>
        <v>0</v>
      </c>
      <c r="DS34" s="37">
        <f>DR35+2+1.8+1.4+2</f>
        <v>7.199999999999999</v>
      </c>
      <c r="DT34" s="37">
        <f t="shared" si="66"/>
        <v>0</v>
      </c>
      <c r="DU34" s="25">
        <f t="shared" si="66"/>
        <v>0</v>
      </c>
      <c r="DV34" s="25">
        <f t="shared" si="66"/>
        <v>0</v>
      </c>
      <c r="DW34" s="25">
        <f>DV35+15+2.9+1+2.5</f>
        <v>21.4</v>
      </c>
      <c r="DX34" s="25">
        <f t="shared" si="66"/>
        <v>21.4</v>
      </c>
      <c r="DY34" s="25">
        <f>DX35+1.6</f>
        <v>4.1</v>
      </c>
      <c r="DZ34" s="25">
        <f t="shared" si="66"/>
        <v>4.1</v>
      </c>
      <c r="EA34" s="25">
        <f t="shared" si="66"/>
        <v>4.1</v>
      </c>
      <c r="EB34" s="25">
        <f>EA35+22.7+4.7+1.6+0.9</f>
        <v>33.99999999999999</v>
      </c>
      <c r="EC34" s="25">
        <f t="shared" si="66"/>
        <v>2.499999999999993</v>
      </c>
      <c r="ED34" s="25">
        <f aca="true" t="shared" si="67" ref="ED34:GO34">EC35</f>
        <v>2.499999999999993</v>
      </c>
      <c r="EE34" s="25">
        <f>ED35+2.1</f>
        <v>4.5999999999999925</v>
      </c>
      <c r="EF34" s="25">
        <f>EE35+6.8+4.9+39.9+1.7+1.6+0.9+2.1</f>
        <v>62.49999999999999</v>
      </c>
      <c r="EG34" s="25">
        <f>EF35+20.9+0.9</f>
        <v>72.6</v>
      </c>
      <c r="EH34" s="25">
        <f>EG35+1.3</f>
        <v>73.89999999999999</v>
      </c>
      <c r="EI34" s="25">
        <f>EH35+1.7</f>
        <v>55.599999999999994</v>
      </c>
      <c r="EJ34" s="25">
        <f t="shared" si="67"/>
        <v>35.699999999999996</v>
      </c>
      <c r="EK34" s="25">
        <f t="shared" si="67"/>
        <v>35.699999999999996</v>
      </c>
      <c r="EL34" s="25">
        <f t="shared" si="67"/>
        <v>35.699999999999996</v>
      </c>
      <c r="EM34" s="25">
        <f>EL35+8.4</f>
        <v>44.099999999999994</v>
      </c>
      <c r="EN34" s="25">
        <f>EM35+2.2</f>
        <v>46.3</v>
      </c>
      <c r="EO34" s="25">
        <f>EN35+1.6</f>
        <v>47.9</v>
      </c>
      <c r="EP34" s="25">
        <f t="shared" si="67"/>
        <v>47.9</v>
      </c>
      <c r="EQ34" s="25">
        <f t="shared" si="67"/>
        <v>12.299999999999997</v>
      </c>
      <c r="ER34" s="25">
        <f>EQ35+2.3</f>
        <v>14.599999999999998</v>
      </c>
      <c r="ES34" s="25">
        <f>ER35</f>
        <v>14.599999999999998</v>
      </c>
      <c r="ET34" s="25">
        <f>ES35+20.9+0.8+1.7</f>
        <v>38</v>
      </c>
      <c r="EU34" s="25">
        <f t="shared" si="67"/>
        <v>38</v>
      </c>
      <c r="EV34" s="25">
        <f>EU35+1.5</f>
        <v>39.5</v>
      </c>
      <c r="EW34" s="25">
        <f>EV35+1.8</f>
        <v>26.7</v>
      </c>
      <c r="EX34" s="25">
        <f>EW35+17.6+1.3</f>
        <v>45.599999999999994</v>
      </c>
      <c r="EY34" s="25">
        <f>EX35</f>
        <v>22.199999999999996</v>
      </c>
      <c r="EZ34" s="25">
        <f>EY35+20.2+1.4</f>
        <v>43.79999999999999</v>
      </c>
      <c r="FA34" s="25">
        <f t="shared" si="67"/>
        <v>26.19999999999999</v>
      </c>
      <c r="FB34" s="25">
        <f>FA35+1.5</f>
        <v>7.499999999999989</v>
      </c>
      <c r="FC34" s="25">
        <f>FB35+1</f>
        <v>8.49999999999999</v>
      </c>
      <c r="FD34" s="25">
        <f t="shared" si="67"/>
        <v>8.49999999999999</v>
      </c>
      <c r="FE34" s="25">
        <f>FD35+1.4</f>
        <v>9.89999999999999</v>
      </c>
      <c r="FF34" s="25">
        <f>FE35+15.1</f>
        <v>24.99999999999999</v>
      </c>
      <c r="FG34" s="25">
        <f>FF35+1.6</f>
        <v>5.499999999999988</v>
      </c>
      <c r="FH34" s="25">
        <f>FG35+20.8</f>
        <v>26.29999999999999</v>
      </c>
      <c r="FI34" s="25">
        <f>FH35+2.2</f>
        <v>28.49999999999999</v>
      </c>
      <c r="FJ34" s="25">
        <f t="shared" si="67"/>
        <v>28.49999999999999</v>
      </c>
      <c r="FK34" s="25">
        <f t="shared" si="67"/>
        <v>28.49999999999999</v>
      </c>
      <c r="FL34" s="25">
        <f t="shared" si="67"/>
        <v>28.49999999999999</v>
      </c>
      <c r="FM34" s="25">
        <f t="shared" si="67"/>
        <v>28.49999999999999</v>
      </c>
      <c r="FN34" s="25">
        <f t="shared" si="67"/>
        <v>28.49999999999999</v>
      </c>
      <c r="FO34" s="25">
        <f t="shared" si="67"/>
        <v>28.49999999999999</v>
      </c>
      <c r="FP34" s="25">
        <f t="shared" si="67"/>
        <v>28.49999999999999</v>
      </c>
      <c r="FQ34" s="25">
        <f t="shared" si="67"/>
        <v>28.49999999999999</v>
      </c>
      <c r="FR34" s="25">
        <f t="shared" si="67"/>
        <v>28.49999999999999</v>
      </c>
      <c r="FS34" s="25">
        <f t="shared" si="67"/>
        <v>-6.500000000000011</v>
      </c>
      <c r="FT34" s="25">
        <f t="shared" si="67"/>
        <v>-6.500000000000011</v>
      </c>
      <c r="FU34" s="25">
        <f t="shared" si="67"/>
        <v>-6.500000000000011</v>
      </c>
      <c r="FV34" s="25">
        <f t="shared" si="67"/>
        <v>-6.500000000000011</v>
      </c>
      <c r="FW34" s="25">
        <f t="shared" si="67"/>
        <v>-6.500000000000011</v>
      </c>
      <c r="FX34" s="25">
        <f t="shared" si="67"/>
        <v>-6.500000000000011</v>
      </c>
      <c r="FY34" s="25">
        <f t="shared" si="67"/>
        <v>-6.500000000000011</v>
      </c>
      <c r="FZ34" s="25">
        <f t="shared" si="67"/>
        <v>-31.50000000000001</v>
      </c>
      <c r="GA34" s="25">
        <f t="shared" si="67"/>
        <v>-31.50000000000001</v>
      </c>
      <c r="GB34" s="25">
        <f t="shared" si="67"/>
        <v>-31.50000000000001</v>
      </c>
      <c r="GC34" s="25">
        <f t="shared" si="67"/>
        <v>-31.50000000000001</v>
      </c>
      <c r="GD34" s="25">
        <f t="shared" si="67"/>
        <v>-31.50000000000001</v>
      </c>
      <c r="GE34" s="25">
        <f t="shared" si="67"/>
        <v>-31.50000000000001</v>
      </c>
      <c r="GF34" s="25">
        <f t="shared" si="67"/>
        <v>-31.50000000000001</v>
      </c>
      <c r="GG34" s="25">
        <f t="shared" si="67"/>
        <v>-31.50000000000001</v>
      </c>
      <c r="GH34" s="25">
        <f t="shared" si="67"/>
        <v>-31.50000000000001</v>
      </c>
      <c r="GI34" s="25">
        <f t="shared" si="67"/>
        <v>-31.50000000000001</v>
      </c>
      <c r="GJ34" s="25">
        <f t="shared" si="67"/>
        <v>-31.50000000000001</v>
      </c>
      <c r="GK34" s="25">
        <f t="shared" si="67"/>
        <v>-31.50000000000001</v>
      </c>
      <c r="GL34" s="25">
        <f t="shared" si="67"/>
        <v>-31.50000000000001</v>
      </c>
      <c r="GM34" s="25">
        <f t="shared" si="67"/>
        <v>-31.50000000000001</v>
      </c>
      <c r="GN34" s="25">
        <f t="shared" si="67"/>
        <v>-31.50000000000001</v>
      </c>
      <c r="GO34" s="25">
        <f t="shared" si="67"/>
        <v>-31.50000000000001</v>
      </c>
    </row>
    <row r="35" spans="1:197" s="42" customFormat="1" ht="15">
      <c r="A35" s="32"/>
      <c r="B35" s="28"/>
      <c r="C35" s="24" t="s">
        <v>218</v>
      </c>
      <c r="D35" s="43">
        <f>D34-D33</f>
        <v>-5.5</v>
      </c>
      <c r="E35" s="43">
        <f>E34-E33</f>
        <v>-5.5</v>
      </c>
      <c r="F35" s="43">
        <f aca="true" t="shared" si="68" ref="F35:BQ35">F34-F33</f>
        <v>13</v>
      </c>
      <c r="G35" s="43">
        <f t="shared" si="68"/>
        <v>29.5</v>
      </c>
      <c r="H35" s="43">
        <f t="shared" si="68"/>
        <v>32.4</v>
      </c>
      <c r="I35" s="43">
        <f t="shared" si="68"/>
        <v>32.4</v>
      </c>
      <c r="J35" s="43">
        <f t="shared" si="68"/>
        <v>32.4</v>
      </c>
      <c r="K35" s="43">
        <f t="shared" si="68"/>
        <v>32.4</v>
      </c>
      <c r="L35" s="43">
        <f t="shared" si="68"/>
        <v>60.5</v>
      </c>
      <c r="M35" s="43">
        <f t="shared" si="68"/>
        <v>77.4</v>
      </c>
      <c r="N35" s="43">
        <f t="shared" si="68"/>
        <v>77.4</v>
      </c>
      <c r="O35" s="44">
        <f t="shared" si="68"/>
        <v>31.4</v>
      </c>
      <c r="P35" s="43">
        <f t="shared" si="68"/>
        <v>31.4</v>
      </c>
      <c r="Q35" s="43">
        <f t="shared" si="68"/>
        <v>31.4</v>
      </c>
      <c r="R35" s="43">
        <f t="shared" si="68"/>
        <v>49.9</v>
      </c>
      <c r="S35" s="43">
        <f t="shared" si="68"/>
        <v>28.9</v>
      </c>
      <c r="T35" s="43">
        <f t="shared" si="68"/>
        <v>30.2</v>
      </c>
      <c r="U35" s="43">
        <f t="shared" si="68"/>
        <v>30.2</v>
      </c>
      <c r="V35" s="43">
        <f t="shared" si="68"/>
        <v>30.2</v>
      </c>
      <c r="W35" s="43">
        <f t="shared" si="68"/>
        <v>30.2</v>
      </c>
      <c r="X35" s="44">
        <f t="shared" si="68"/>
        <v>58.9</v>
      </c>
      <c r="Y35" s="43">
        <f t="shared" si="68"/>
        <v>26.199999999999996</v>
      </c>
      <c r="Z35" s="43">
        <f t="shared" si="68"/>
        <v>33.599999999999994</v>
      </c>
      <c r="AA35" s="44">
        <f t="shared" si="68"/>
        <v>33.599999999999994</v>
      </c>
      <c r="AB35" s="43">
        <f t="shared" si="68"/>
        <v>33.599999999999994</v>
      </c>
      <c r="AC35" s="43">
        <f t="shared" si="68"/>
        <v>33.599999999999994</v>
      </c>
      <c r="AD35" s="44">
        <f t="shared" si="68"/>
        <v>40.499999999999986</v>
      </c>
      <c r="AE35" s="44">
        <f t="shared" si="68"/>
        <v>59.19999999999999</v>
      </c>
      <c r="AF35" s="43">
        <f t="shared" si="68"/>
        <v>33.59999999999999</v>
      </c>
      <c r="AG35" s="43">
        <f t="shared" si="68"/>
        <v>15.899999999999988</v>
      </c>
      <c r="AH35" s="43">
        <f t="shared" si="68"/>
        <v>15.899999999999988</v>
      </c>
      <c r="AI35" s="43">
        <f t="shared" si="68"/>
        <v>15.899999999999988</v>
      </c>
      <c r="AJ35" s="43">
        <f t="shared" si="68"/>
        <v>46.19999999999999</v>
      </c>
      <c r="AK35" s="43">
        <f t="shared" si="68"/>
        <v>48.59999999999999</v>
      </c>
      <c r="AL35" s="43">
        <f t="shared" si="68"/>
        <v>48.59999999999999</v>
      </c>
      <c r="AM35" s="43">
        <f t="shared" si="68"/>
        <v>49.999999999999986</v>
      </c>
      <c r="AN35" s="43">
        <f t="shared" si="68"/>
        <v>19.999999999999986</v>
      </c>
      <c r="AO35" s="43">
        <f t="shared" si="68"/>
        <v>19.999999999999986</v>
      </c>
      <c r="AP35" s="43">
        <f t="shared" si="68"/>
        <v>57.399999999999984</v>
      </c>
      <c r="AQ35" s="43">
        <f t="shared" si="68"/>
        <v>57.399999999999984</v>
      </c>
      <c r="AR35" s="43">
        <f t="shared" si="68"/>
        <v>15.099999999999987</v>
      </c>
      <c r="AS35" s="43">
        <f t="shared" si="68"/>
        <v>17.19999999999999</v>
      </c>
      <c r="AT35" s="43">
        <f t="shared" si="68"/>
        <v>17.19999999999999</v>
      </c>
      <c r="AU35" s="43">
        <f t="shared" si="68"/>
        <v>17.19999999999999</v>
      </c>
      <c r="AV35" s="43">
        <f t="shared" si="68"/>
        <v>3.799999999999983</v>
      </c>
      <c r="AW35" s="43">
        <f t="shared" si="68"/>
        <v>3.799999999999983</v>
      </c>
      <c r="AX35" s="43">
        <f t="shared" si="68"/>
        <v>3.799999999999983</v>
      </c>
      <c r="AY35" s="43">
        <f t="shared" si="68"/>
        <v>3.799999999999983</v>
      </c>
      <c r="AZ35" s="43">
        <f t="shared" si="68"/>
        <v>3.799999999999983</v>
      </c>
      <c r="BA35" s="43">
        <f t="shared" si="68"/>
        <v>5.599999999999983</v>
      </c>
      <c r="BB35" s="43">
        <f t="shared" si="68"/>
        <v>1.6999999999999886</v>
      </c>
      <c r="BC35" s="43">
        <f t="shared" si="68"/>
        <v>1.6999999999999886</v>
      </c>
      <c r="BD35" s="43">
        <f t="shared" si="68"/>
        <v>3.0999999999999885</v>
      </c>
      <c r="BE35" s="43">
        <f t="shared" si="68"/>
        <v>3.0999999999999885</v>
      </c>
      <c r="BF35" s="43">
        <f t="shared" si="68"/>
        <v>3.0999999999999885</v>
      </c>
      <c r="BG35" s="43">
        <f t="shared" si="68"/>
        <v>3.0999999999999885</v>
      </c>
      <c r="BH35" s="43">
        <f t="shared" si="68"/>
        <v>32.499999999999986</v>
      </c>
      <c r="BI35" s="43">
        <f t="shared" si="68"/>
        <v>34.29999999999998</v>
      </c>
      <c r="BJ35" s="43">
        <f t="shared" si="68"/>
        <v>53.499999999999986</v>
      </c>
      <c r="BK35" s="43">
        <f t="shared" si="68"/>
        <v>55.59999999999999</v>
      </c>
      <c r="BL35" s="43">
        <f t="shared" si="68"/>
        <v>30.599999999999987</v>
      </c>
      <c r="BM35" s="43">
        <f t="shared" si="68"/>
        <v>30.599999999999987</v>
      </c>
      <c r="BN35" s="43">
        <f t="shared" si="68"/>
        <v>60.39999999999999</v>
      </c>
      <c r="BO35" s="43">
        <f t="shared" si="68"/>
        <v>62.99999999999999</v>
      </c>
      <c r="BP35" s="43">
        <f t="shared" si="68"/>
        <v>6.700000000000003</v>
      </c>
      <c r="BQ35" s="43">
        <f t="shared" si="68"/>
        <v>6.700000000000003</v>
      </c>
      <c r="BR35" s="43">
        <f aca="true" t="shared" si="69" ref="BR35:EC35">BR34-BR33</f>
        <v>6.700000000000003</v>
      </c>
      <c r="BS35" s="43">
        <f t="shared" si="69"/>
        <v>8.900000000000002</v>
      </c>
      <c r="BT35" s="45">
        <f t="shared" si="69"/>
        <v>33.5</v>
      </c>
      <c r="BU35" s="45">
        <f t="shared" si="69"/>
        <v>33.5</v>
      </c>
      <c r="BV35" s="45">
        <f t="shared" si="69"/>
        <v>33.5</v>
      </c>
      <c r="BW35" s="43">
        <f t="shared" si="69"/>
        <v>0</v>
      </c>
      <c r="BX35" s="43">
        <f t="shared" si="69"/>
        <v>0</v>
      </c>
      <c r="BY35" s="43">
        <f t="shared" si="69"/>
        <v>0</v>
      </c>
      <c r="BZ35" s="43">
        <f t="shared" si="69"/>
        <v>0</v>
      </c>
      <c r="CA35" s="43">
        <f t="shared" si="69"/>
        <v>0</v>
      </c>
      <c r="CB35" s="43">
        <f t="shared" si="69"/>
        <v>0</v>
      </c>
      <c r="CC35" s="43">
        <f t="shared" si="69"/>
        <v>0</v>
      </c>
      <c r="CD35" s="43">
        <f t="shared" si="69"/>
        <v>0</v>
      </c>
      <c r="CE35" s="43">
        <f t="shared" si="69"/>
        <v>0</v>
      </c>
      <c r="CF35" s="43">
        <f t="shared" si="69"/>
        <v>31.6</v>
      </c>
      <c r="CG35" s="43">
        <f t="shared" si="69"/>
        <v>9.600000000000001</v>
      </c>
      <c r="CH35" s="43">
        <f t="shared" si="69"/>
        <v>0</v>
      </c>
      <c r="CI35" s="43">
        <f t="shared" si="69"/>
        <v>0</v>
      </c>
      <c r="CJ35" s="43">
        <f t="shared" si="69"/>
        <v>0</v>
      </c>
      <c r="CK35" s="43">
        <f t="shared" si="69"/>
        <v>30.3</v>
      </c>
      <c r="CL35" s="43">
        <f t="shared" si="69"/>
        <v>30.3</v>
      </c>
      <c r="CM35" s="43">
        <f t="shared" si="69"/>
        <v>30.3</v>
      </c>
      <c r="CN35" s="43">
        <f t="shared" si="69"/>
        <v>30.3</v>
      </c>
      <c r="CO35" s="43">
        <f t="shared" si="69"/>
        <v>37.6</v>
      </c>
      <c r="CP35" s="43">
        <f t="shared" si="69"/>
        <v>7.300000000000001</v>
      </c>
      <c r="CQ35" s="43">
        <f t="shared" si="69"/>
        <v>7.300000000000001</v>
      </c>
      <c r="CR35" s="43">
        <f t="shared" si="69"/>
        <v>23.5</v>
      </c>
      <c r="CS35" s="43">
        <f t="shared" si="69"/>
        <v>23.5</v>
      </c>
      <c r="CT35" s="43">
        <f t="shared" si="69"/>
        <v>43.5</v>
      </c>
      <c r="CU35" s="43">
        <f t="shared" si="69"/>
        <v>20</v>
      </c>
      <c r="CV35" s="43">
        <f t="shared" si="69"/>
        <v>0</v>
      </c>
      <c r="CW35" s="43">
        <f t="shared" si="69"/>
        <v>0</v>
      </c>
      <c r="CX35" s="43">
        <f t="shared" si="69"/>
        <v>46.400000000000006</v>
      </c>
      <c r="CY35" s="43">
        <f t="shared" si="69"/>
        <v>46.400000000000006</v>
      </c>
      <c r="CZ35" s="43">
        <f t="shared" si="69"/>
        <v>0</v>
      </c>
      <c r="DA35" s="43">
        <f t="shared" si="69"/>
        <v>0</v>
      </c>
      <c r="DB35" s="43">
        <f t="shared" si="69"/>
        <v>0</v>
      </c>
      <c r="DC35" s="43">
        <f t="shared" si="69"/>
        <v>5.6</v>
      </c>
      <c r="DD35" s="43">
        <f t="shared" si="69"/>
        <v>0</v>
      </c>
      <c r="DE35" s="43">
        <f t="shared" si="69"/>
        <v>0</v>
      </c>
      <c r="DF35" s="43">
        <f t="shared" si="69"/>
        <v>0</v>
      </c>
      <c r="DG35" s="43">
        <f t="shared" si="69"/>
        <v>2.5</v>
      </c>
      <c r="DH35" s="43">
        <f t="shared" si="69"/>
        <v>0</v>
      </c>
      <c r="DI35" s="43">
        <f t="shared" si="69"/>
        <v>0</v>
      </c>
      <c r="DJ35" s="43">
        <f t="shared" si="69"/>
        <v>17.6</v>
      </c>
      <c r="DK35" s="43">
        <f t="shared" si="69"/>
        <v>17.6</v>
      </c>
      <c r="DL35" s="43">
        <f t="shared" si="69"/>
        <v>17.6</v>
      </c>
      <c r="DM35" s="43">
        <f t="shared" si="69"/>
        <v>37.900000000000006</v>
      </c>
      <c r="DN35" s="43">
        <f t="shared" si="69"/>
        <v>37.900000000000006</v>
      </c>
      <c r="DO35" s="43">
        <f t="shared" si="69"/>
        <v>65.4</v>
      </c>
      <c r="DP35" s="44">
        <f t="shared" si="69"/>
        <v>27.500000000000007</v>
      </c>
      <c r="DQ35" s="44">
        <f t="shared" si="69"/>
        <v>0</v>
      </c>
      <c r="DR35" s="44">
        <f t="shared" si="69"/>
        <v>0</v>
      </c>
      <c r="DS35" s="44">
        <f t="shared" si="69"/>
        <v>0</v>
      </c>
      <c r="DT35" s="44">
        <f t="shared" si="69"/>
        <v>0</v>
      </c>
      <c r="DU35" s="43">
        <f t="shared" si="69"/>
        <v>0</v>
      </c>
      <c r="DV35" s="43">
        <f t="shared" si="69"/>
        <v>0</v>
      </c>
      <c r="DW35" s="43">
        <f t="shared" si="69"/>
        <v>21.4</v>
      </c>
      <c r="DX35" s="43">
        <f t="shared" si="69"/>
        <v>2.5</v>
      </c>
      <c r="DY35" s="43">
        <f t="shared" si="69"/>
        <v>4.1</v>
      </c>
      <c r="DZ35" s="43">
        <f t="shared" si="69"/>
        <v>4.1</v>
      </c>
      <c r="EA35" s="43">
        <f t="shared" si="69"/>
        <v>4.1</v>
      </c>
      <c r="EB35" s="43">
        <f t="shared" si="69"/>
        <v>2.499999999999993</v>
      </c>
      <c r="EC35" s="43">
        <f t="shared" si="69"/>
        <v>2.499999999999993</v>
      </c>
      <c r="ED35" s="43">
        <f aca="true" t="shared" si="70" ref="ED35:GO35">ED34-ED33</f>
        <v>2.499999999999993</v>
      </c>
      <c r="EE35" s="43">
        <f t="shared" si="70"/>
        <v>4.5999999999999925</v>
      </c>
      <c r="EF35" s="43">
        <f t="shared" si="70"/>
        <v>50.8</v>
      </c>
      <c r="EG35" s="43">
        <f t="shared" si="70"/>
        <v>72.6</v>
      </c>
      <c r="EH35" s="43">
        <f t="shared" si="70"/>
        <v>53.89999999999999</v>
      </c>
      <c r="EI35" s="43">
        <f t="shared" si="70"/>
        <v>35.699999999999996</v>
      </c>
      <c r="EJ35" s="43">
        <f t="shared" si="70"/>
        <v>35.699999999999996</v>
      </c>
      <c r="EK35" s="43">
        <f t="shared" si="70"/>
        <v>35.699999999999996</v>
      </c>
      <c r="EL35" s="43">
        <f t="shared" si="70"/>
        <v>35.699999999999996</v>
      </c>
      <c r="EM35" s="43">
        <f t="shared" si="70"/>
        <v>44.099999999999994</v>
      </c>
      <c r="EN35" s="43">
        <f t="shared" si="70"/>
        <v>46.3</v>
      </c>
      <c r="EO35" s="43">
        <f t="shared" si="70"/>
        <v>47.9</v>
      </c>
      <c r="EP35" s="43">
        <f t="shared" si="70"/>
        <v>12.299999999999997</v>
      </c>
      <c r="EQ35" s="43">
        <f t="shared" si="70"/>
        <v>12.299999999999997</v>
      </c>
      <c r="ER35" s="43">
        <f t="shared" si="70"/>
        <v>14.599999999999998</v>
      </c>
      <c r="ES35" s="43">
        <f t="shared" si="70"/>
        <v>14.599999999999998</v>
      </c>
      <c r="ET35" s="43">
        <f t="shared" si="70"/>
        <v>38</v>
      </c>
      <c r="EU35" s="43">
        <f t="shared" si="70"/>
        <v>38</v>
      </c>
      <c r="EV35" s="43">
        <f t="shared" si="70"/>
        <v>24.9</v>
      </c>
      <c r="EW35" s="43">
        <f t="shared" si="70"/>
        <v>26.7</v>
      </c>
      <c r="EX35" s="43">
        <f t="shared" si="70"/>
        <v>22.199999999999996</v>
      </c>
      <c r="EY35" s="43">
        <f t="shared" si="70"/>
        <v>22.199999999999996</v>
      </c>
      <c r="EZ35" s="43">
        <f t="shared" si="70"/>
        <v>26.19999999999999</v>
      </c>
      <c r="FA35" s="43">
        <f t="shared" si="70"/>
        <v>5.999999999999989</v>
      </c>
      <c r="FB35" s="43">
        <f t="shared" si="70"/>
        <v>7.499999999999989</v>
      </c>
      <c r="FC35" s="43">
        <f t="shared" si="70"/>
        <v>8.49999999999999</v>
      </c>
      <c r="FD35" s="43">
        <f t="shared" si="70"/>
        <v>8.49999999999999</v>
      </c>
      <c r="FE35" s="43">
        <f t="shared" si="70"/>
        <v>9.89999999999999</v>
      </c>
      <c r="FF35" s="43">
        <f t="shared" si="70"/>
        <v>3.899999999999988</v>
      </c>
      <c r="FG35" s="43">
        <f t="shared" si="70"/>
        <v>5.499999999999988</v>
      </c>
      <c r="FH35" s="43">
        <f t="shared" si="70"/>
        <v>26.29999999999999</v>
      </c>
      <c r="FI35" s="43">
        <f t="shared" si="70"/>
        <v>28.49999999999999</v>
      </c>
      <c r="FJ35" s="43">
        <f t="shared" si="70"/>
        <v>28.49999999999999</v>
      </c>
      <c r="FK35" s="43">
        <f t="shared" si="70"/>
        <v>28.49999999999999</v>
      </c>
      <c r="FL35" s="43">
        <f t="shared" si="70"/>
        <v>28.49999999999999</v>
      </c>
      <c r="FM35" s="43">
        <f t="shared" si="70"/>
        <v>28.49999999999999</v>
      </c>
      <c r="FN35" s="43">
        <f t="shared" si="70"/>
        <v>28.49999999999999</v>
      </c>
      <c r="FO35" s="43">
        <f t="shared" si="70"/>
        <v>28.49999999999999</v>
      </c>
      <c r="FP35" s="43">
        <f t="shared" si="70"/>
        <v>28.49999999999999</v>
      </c>
      <c r="FQ35" s="43">
        <f t="shared" si="70"/>
        <v>28.49999999999999</v>
      </c>
      <c r="FR35" s="43">
        <f t="shared" si="70"/>
        <v>-6.500000000000011</v>
      </c>
      <c r="FS35" s="43">
        <f t="shared" si="70"/>
        <v>-6.500000000000011</v>
      </c>
      <c r="FT35" s="43">
        <f t="shared" si="70"/>
        <v>-6.500000000000011</v>
      </c>
      <c r="FU35" s="43">
        <f t="shared" si="70"/>
        <v>-6.500000000000011</v>
      </c>
      <c r="FV35" s="43">
        <f t="shared" si="70"/>
        <v>-6.500000000000011</v>
      </c>
      <c r="FW35" s="43">
        <f t="shared" si="70"/>
        <v>-6.500000000000011</v>
      </c>
      <c r="FX35" s="43">
        <f t="shared" si="70"/>
        <v>-6.500000000000011</v>
      </c>
      <c r="FY35" s="43">
        <f t="shared" si="70"/>
        <v>-31.50000000000001</v>
      </c>
      <c r="FZ35" s="43">
        <f t="shared" si="70"/>
        <v>-31.50000000000001</v>
      </c>
      <c r="GA35" s="43">
        <f t="shared" si="70"/>
        <v>-31.50000000000001</v>
      </c>
      <c r="GB35" s="43">
        <f t="shared" si="70"/>
        <v>-31.50000000000001</v>
      </c>
      <c r="GC35" s="43">
        <f t="shared" si="70"/>
        <v>-31.50000000000001</v>
      </c>
      <c r="GD35" s="43">
        <f t="shared" si="70"/>
        <v>-31.50000000000001</v>
      </c>
      <c r="GE35" s="43">
        <f t="shared" si="70"/>
        <v>-31.50000000000001</v>
      </c>
      <c r="GF35" s="43">
        <f t="shared" si="70"/>
        <v>-31.50000000000001</v>
      </c>
      <c r="GG35" s="43">
        <f t="shared" si="70"/>
        <v>-31.50000000000001</v>
      </c>
      <c r="GH35" s="43">
        <f t="shared" si="70"/>
        <v>-31.50000000000001</v>
      </c>
      <c r="GI35" s="43">
        <f t="shared" si="70"/>
        <v>-31.50000000000001</v>
      </c>
      <c r="GJ35" s="43">
        <f t="shared" si="70"/>
        <v>-31.50000000000001</v>
      </c>
      <c r="GK35" s="43">
        <f t="shared" si="70"/>
        <v>-31.50000000000001</v>
      </c>
      <c r="GL35" s="43">
        <f t="shared" si="70"/>
        <v>-31.50000000000001</v>
      </c>
      <c r="GM35" s="43">
        <f t="shared" si="70"/>
        <v>-31.50000000000001</v>
      </c>
      <c r="GN35" s="43">
        <f t="shared" si="70"/>
        <v>-31.50000000000001</v>
      </c>
      <c r="GO35" s="43">
        <f t="shared" si="70"/>
        <v>-31.50000000000001</v>
      </c>
    </row>
    <row r="36" spans="1:256" s="9" customFormat="1" ht="15">
      <c r="A36" s="2" t="s">
        <v>229</v>
      </c>
      <c r="B36" s="4">
        <v>21</v>
      </c>
      <c r="C36" s="12" t="s">
        <v>216</v>
      </c>
      <c r="D36" s="19">
        <v>30</v>
      </c>
      <c r="F36" s="19">
        <v>50</v>
      </c>
      <c r="O36" s="19">
        <v>370.1</v>
      </c>
      <c r="P36" s="19">
        <v>40</v>
      </c>
      <c r="R36" s="19">
        <v>50</v>
      </c>
      <c r="S36" s="19">
        <v>50.8</v>
      </c>
      <c r="T36" s="19">
        <v>30</v>
      </c>
      <c r="X36" s="19">
        <v>90</v>
      </c>
      <c r="AA36" s="29"/>
      <c r="AB36" s="19">
        <v>45</v>
      </c>
      <c r="AD36" s="19">
        <v>50</v>
      </c>
      <c r="AE36" s="19">
        <v>30</v>
      </c>
      <c r="AF36" s="19">
        <v>35</v>
      </c>
      <c r="AG36" s="19">
        <v>30</v>
      </c>
      <c r="AH36" s="19">
        <v>30</v>
      </c>
      <c r="AP36" s="19">
        <v>200</v>
      </c>
      <c r="AQ36" s="19">
        <v>39.2</v>
      </c>
      <c r="AR36" s="19">
        <v>35</v>
      </c>
      <c r="AS36" s="19">
        <v>35</v>
      </c>
      <c r="AT36" s="19">
        <v>35</v>
      </c>
      <c r="AW36" s="30">
        <v>39.4</v>
      </c>
      <c r="AY36" s="30">
        <v>30</v>
      </c>
      <c r="AZ36" s="30">
        <v>40</v>
      </c>
      <c r="BC36" s="49">
        <v>89.5</v>
      </c>
      <c r="BD36" s="30">
        <v>30</v>
      </c>
      <c r="BE36" s="30">
        <v>25</v>
      </c>
      <c r="BF36" s="30">
        <v>30</v>
      </c>
      <c r="BH36" s="30">
        <v>30</v>
      </c>
      <c r="BI36" s="19">
        <v>30.7</v>
      </c>
      <c r="BP36" s="19">
        <v>330</v>
      </c>
      <c r="BT36" s="31"/>
      <c r="BU36" s="31"/>
      <c r="BV36" s="31"/>
      <c r="BW36" s="30">
        <v>100</v>
      </c>
      <c r="CA36" s="30">
        <v>41.5</v>
      </c>
      <c r="CC36" s="30">
        <v>35</v>
      </c>
      <c r="CD36" s="19">
        <v>35</v>
      </c>
      <c r="CF36" s="30">
        <v>35</v>
      </c>
      <c r="CG36" s="30">
        <v>35</v>
      </c>
      <c r="CH36" s="30">
        <v>50</v>
      </c>
      <c r="CJ36" s="19">
        <v>90</v>
      </c>
      <c r="CP36" s="19">
        <v>200</v>
      </c>
      <c r="CR36" s="30">
        <v>60</v>
      </c>
      <c r="CS36" s="19">
        <v>59.9</v>
      </c>
      <c r="CU36" s="30">
        <v>50</v>
      </c>
      <c r="CV36" s="30">
        <v>50</v>
      </c>
      <c r="CZ36" s="19">
        <v>73.2</v>
      </c>
      <c r="DE36" s="50">
        <v>48</v>
      </c>
      <c r="DG36" s="30">
        <v>30</v>
      </c>
      <c r="DH36" s="30">
        <v>41.4</v>
      </c>
      <c r="DP36" s="19">
        <v>74.4</v>
      </c>
      <c r="DQ36" s="29"/>
      <c r="DR36" s="29"/>
      <c r="DS36" s="29"/>
      <c r="DT36" s="30">
        <v>70</v>
      </c>
      <c r="DV36" s="30">
        <v>48.3</v>
      </c>
      <c r="DY36" s="30">
        <v>32.4</v>
      </c>
      <c r="DZ36" s="30">
        <v>30</v>
      </c>
      <c r="EB36" s="30">
        <v>50</v>
      </c>
      <c r="EC36" s="19">
        <v>44.4</v>
      </c>
      <c r="EE36" s="30">
        <v>45</v>
      </c>
      <c r="EH36" s="19"/>
      <c r="EP36" s="19">
        <v>309</v>
      </c>
      <c r="ET36" s="30">
        <v>100</v>
      </c>
      <c r="EU36" s="30">
        <v>45</v>
      </c>
      <c r="EV36" s="30">
        <v>45</v>
      </c>
      <c r="EW36" s="33">
        <v>50</v>
      </c>
      <c r="EX36" s="30">
        <v>50</v>
      </c>
      <c r="EZ36" s="19">
        <v>50</v>
      </c>
      <c r="FA36" s="30">
        <v>50</v>
      </c>
      <c r="FB36" s="30">
        <v>36</v>
      </c>
      <c r="FD36" s="30">
        <v>26.1</v>
      </c>
      <c r="FG36" s="99">
        <v>40</v>
      </c>
      <c r="FH36" s="99">
        <v>40</v>
      </c>
      <c r="FI36" s="99">
        <v>40</v>
      </c>
      <c r="FR36" s="9">
        <v>285</v>
      </c>
      <c r="FS36" s="9">
        <v>62.2</v>
      </c>
      <c r="FX36" s="9">
        <v>44.4</v>
      </c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197" s="42" customFormat="1" ht="15">
      <c r="A37" s="32"/>
      <c r="B37" s="35"/>
      <c r="C37" s="24" t="s">
        <v>217</v>
      </c>
      <c r="D37" s="25">
        <v>311.4</v>
      </c>
      <c r="E37" s="25">
        <f>D38</f>
        <v>281.4</v>
      </c>
      <c r="F37" s="25">
        <f aca="true" t="shared" si="71" ref="F37:BQ37">E38</f>
        <v>281.4</v>
      </c>
      <c r="G37" s="25">
        <f t="shared" si="71"/>
        <v>231.39999999999998</v>
      </c>
      <c r="H37" s="25">
        <f>G38+138.7</f>
        <v>370.09999999999997</v>
      </c>
      <c r="I37" s="25">
        <f t="shared" si="71"/>
        <v>370.09999999999997</v>
      </c>
      <c r="J37" s="25">
        <f t="shared" si="71"/>
        <v>370.09999999999997</v>
      </c>
      <c r="K37" s="25">
        <f t="shared" si="71"/>
        <v>370.09999999999997</v>
      </c>
      <c r="L37" s="25">
        <f t="shared" si="71"/>
        <v>370.09999999999997</v>
      </c>
      <c r="M37" s="25">
        <f t="shared" si="71"/>
        <v>370.09999999999997</v>
      </c>
      <c r="N37" s="25">
        <f>M38+140.8</f>
        <v>510.9</v>
      </c>
      <c r="O37" s="37">
        <f t="shared" si="71"/>
        <v>510.9</v>
      </c>
      <c r="P37" s="25">
        <f t="shared" si="71"/>
        <v>140.79999999999995</v>
      </c>
      <c r="Q37" s="25">
        <f t="shared" si="71"/>
        <v>100.79999999999995</v>
      </c>
      <c r="R37" s="25">
        <f t="shared" si="71"/>
        <v>100.79999999999995</v>
      </c>
      <c r="S37" s="25">
        <f t="shared" si="71"/>
        <v>50.799999999999955</v>
      </c>
      <c r="T37" s="25">
        <f>S38+153.6</f>
        <v>153.6</v>
      </c>
      <c r="U37" s="25">
        <f t="shared" si="71"/>
        <v>123.6</v>
      </c>
      <c r="V37" s="25">
        <f t="shared" si="71"/>
        <v>123.6</v>
      </c>
      <c r="W37" s="25">
        <f t="shared" si="71"/>
        <v>123.6</v>
      </c>
      <c r="X37" s="37">
        <f t="shared" si="71"/>
        <v>123.6</v>
      </c>
      <c r="Y37" s="25">
        <f t="shared" si="71"/>
        <v>33.599999999999994</v>
      </c>
      <c r="Z37" s="25">
        <f>Y38+138.8+27.9</f>
        <v>200.3</v>
      </c>
      <c r="AA37" s="37">
        <f t="shared" si="71"/>
        <v>200.3</v>
      </c>
      <c r="AB37" s="25">
        <f t="shared" si="71"/>
        <v>200.3</v>
      </c>
      <c r="AC37" s="25">
        <f t="shared" si="71"/>
        <v>155.3</v>
      </c>
      <c r="AD37" s="37">
        <f t="shared" si="71"/>
        <v>155.3</v>
      </c>
      <c r="AE37" s="37">
        <f t="shared" si="71"/>
        <v>105.30000000000001</v>
      </c>
      <c r="AF37" s="25">
        <f>AE38+116.3</f>
        <v>191.60000000000002</v>
      </c>
      <c r="AG37" s="25">
        <f t="shared" si="71"/>
        <v>156.60000000000002</v>
      </c>
      <c r="AH37" s="25">
        <f t="shared" si="71"/>
        <v>126.60000000000002</v>
      </c>
      <c r="AI37" s="25">
        <f t="shared" si="71"/>
        <v>96.60000000000002</v>
      </c>
      <c r="AJ37" s="25">
        <f>AI38+153.7</f>
        <v>250.3</v>
      </c>
      <c r="AK37" s="25">
        <f t="shared" si="71"/>
        <v>250.3</v>
      </c>
      <c r="AL37" s="25">
        <f t="shared" si="71"/>
        <v>250.3</v>
      </c>
      <c r="AM37" s="25">
        <f t="shared" si="71"/>
        <v>250.3</v>
      </c>
      <c r="AN37" s="25">
        <f t="shared" si="71"/>
        <v>250.3</v>
      </c>
      <c r="AO37" s="25">
        <f t="shared" si="71"/>
        <v>250.3</v>
      </c>
      <c r="AP37" s="25">
        <f t="shared" si="71"/>
        <v>250.3</v>
      </c>
      <c r="AQ37" s="25">
        <f>AP38-11.1</f>
        <v>39.20000000000001</v>
      </c>
      <c r="AR37" s="25">
        <f>AQ38+144.4</f>
        <v>144.4</v>
      </c>
      <c r="AS37" s="25">
        <f t="shared" si="71"/>
        <v>109.4</v>
      </c>
      <c r="AT37" s="25">
        <f t="shared" si="71"/>
        <v>74.4</v>
      </c>
      <c r="AU37" s="25">
        <f t="shared" si="71"/>
        <v>39.400000000000006</v>
      </c>
      <c r="AV37" s="25">
        <f t="shared" si="71"/>
        <v>39.400000000000006</v>
      </c>
      <c r="AW37" s="25">
        <f t="shared" si="71"/>
        <v>39.400000000000006</v>
      </c>
      <c r="AX37" s="25">
        <f>AW38+159.5</f>
        <v>159.5</v>
      </c>
      <c r="AY37" s="25">
        <f t="shared" si="71"/>
        <v>159.5</v>
      </c>
      <c r="AZ37" s="25">
        <f t="shared" si="71"/>
        <v>129.5</v>
      </c>
      <c r="BA37" s="25">
        <f t="shared" si="71"/>
        <v>89.5</v>
      </c>
      <c r="BB37" s="25">
        <f t="shared" si="71"/>
        <v>89.5</v>
      </c>
      <c r="BC37" s="25">
        <f t="shared" si="71"/>
        <v>89.5</v>
      </c>
      <c r="BD37" s="25">
        <f>BC38+145.7</f>
        <v>145.7</v>
      </c>
      <c r="BE37" s="25">
        <f t="shared" si="71"/>
        <v>115.69999999999999</v>
      </c>
      <c r="BF37" s="25">
        <f t="shared" si="71"/>
        <v>90.69999999999999</v>
      </c>
      <c r="BG37" s="25">
        <f t="shared" si="71"/>
        <v>60.69999999999999</v>
      </c>
      <c r="BH37" s="25">
        <f t="shared" si="71"/>
        <v>60.69999999999999</v>
      </c>
      <c r="BI37" s="25">
        <f t="shared" si="71"/>
        <v>30.69999999999999</v>
      </c>
      <c r="BJ37" s="25">
        <f t="shared" si="71"/>
        <v>0</v>
      </c>
      <c r="BK37" s="25">
        <f>BJ38+169.9</f>
        <v>169.9</v>
      </c>
      <c r="BL37" s="25">
        <f t="shared" si="71"/>
        <v>169.9</v>
      </c>
      <c r="BM37" s="25">
        <f t="shared" si="71"/>
        <v>169.9</v>
      </c>
      <c r="BN37" s="25">
        <f t="shared" si="71"/>
        <v>169.9</v>
      </c>
      <c r="BO37" s="25">
        <f t="shared" si="71"/>
        <v>169.9</v>
      </c>
      <c r="BP37" s="25">
        <f>BO38+156.6+11.2</f>
        <v>337.7</v>
      </c>
      <c r="BQ37" s="25">
        <f t="shared" si="71"/>
        <v>7.699999999999989</v>
      </c>
      <c r="BR37" s="25">
        <f aca="true" t="shared" si="72" ref="BR37:EC37">BQ38</f>
        <v>7.699999999999989</v>
      </c>
      <c r="BS37" s="25">
        <f t="shared" si="72"/>
        <v>7.699999999999989</v>
      </c>
      <c r="BT37" s="40">
        <f t="shared" si="72"/>
        <v>7.699999999999989</v>
      </c>
      <c r="BU37" s="40">
        <f t="shared" si="72"/>
        <v>7.699999999999989</v>
      </c>
      <c r="BV37" s="40">
        <f>BU38+133.8</f>
        <v>141.5</v>
      </c>
      <c r="BW37" s="25">
        <f t="shared" si="72"/>
        <v>141.5</v>
      </c>
      <c r="BX37" s="25">
        <f t="shared" si="72"/>
        <v>41.5</v>
      </c>
      <c r="BY37" s="25">
        <f t="shared" si="72"/>
        <v>41.5</v>
      </c>
      <c r="BZ37" s="25">
        <f t="shared" si="72"/>
        <v>41.5</v>
      </c>
      <c r="CA37" s="25">
        <f t="shared" si="72"/>
        <v>41.5</v>
      </c>
      <c r="CB37" s="25">
        <f>CA38+149.5</f>
        <v>149.5</v>
      </c>
      <c r="CC37" s="25">
        <f t="shared" si="72"/>
        <v>149.5</v>
      </c>
      <c r="CD37" s="25">
        <f t="shared" si="72"/>
        <v>114.5</v>
      </c>
      <c r="CE37" s="25">
        <f t="shared" si="72"/>
        <v>79.5</v>
      </c>
      <c r="CF37" s="25">
        <f t="shared" si="72"/>
        <v>79.5</v>
      </c>
      <c r="CG37" s="25">
        <f t="shared" si="72"/>
        <v>44.5</v>
      </c>
      <c r="CH37" s="25">
        <f>CG38+268.6</f>
        <v>278.1</v>
      </c>
      <c r="CI37" s="25">
        <f t="shared" si="72"/>
        <v>228.10000000000002</v>
      </c>
      <c r="CJ37" s="25">
        <f t="shared" si="72"/>
        <v>228.10000000000002</v>
      </c>
      <c r="CK37" s="25">
        <f t="shared" si="72"/>
        <v>138.10000000000002</v>
      </c>
      <c r="CL37" s="25">
        <f t="shared" si="72"/>
        <v>138.10000000000002</v>
      </c>
      <c r="CM37" s="25">
        <f t="shared" si="72"/>
        <v>138.10000000000002</v>
      </c>
      <c r="CN37" s="25">
        <f t="shared" si="72"/>
        <v>138.10000000000002</v>
      </c>
      <c r="CO37" s="25">
        <f>CN38+112.5+69.3</f>
        <v>319.90000000000003</v>
      </c>
      <c r="CP37" s="25">
        <f t="shared" si="72"/>
        <v>319.90000000000003</v>
      </c>
      <c r="CQ37" s="25">
        <f t="shared" si="72"/>
        <v>119.90000000000003</v>
      </c>
      <c r="CR37" s="25">
        <f t="shared" si="72"/>
        <v>119.90000000000003</v>
      </c>
      <c r="CS37" s="25">
        <f t="shared" si="72"/>
        <v>59.900000000000034</v>
      </c>
      <c r="CT37" s="25">
        <f t="shared" si="72"/>
        <v>0</v>
      </c>
      <c r="CU37" s="25">
        <f>CT38+173.2</f>
        <v>173.2</v>
      </c>
      <c r="CV37" s="25">
        <f t="shared" si="72"/>
        <v>123.19999999999999</v>
      </c>
      <c r="CW37" s="25">
        <f t="shared" si="72"/>
        <v>73.19999999999999</v>
      </c>
      <c r="CX37" s="25">
        <f t="shared" si="72"/>
        <v>73.19999999999999</v>
      </c>
      <c r="CY37" s="25">
        <f t="shared" si="72"/>
        <v>73.19999999999999</v>
      </c>
      <c r="CZ37" s="25">
        <f t="shared" si="72"/>
        <v>73.19999999999999</v>
      </c>
      <c r="DA37" s="25">
        <f>CZ38+51</f>
        <v>51</v>
      </c>
      <c r="DB37" s="25">
        <f t="shared" si="72"/>
        <v>51</v>
      </c>
      <c r="DC37" s="25">
        <f t="shared" si="72"/>
        <v>51</v>
      </c>
      <c r="DD37" s="25">
        <f t="shared" si="72"/>
        <v>51</v>
      </c>
      <c r="DE37" s="25">
        <f t="shared" si="72"/>
        <v>51</v>
      </c>
      <c r="DF37" s="25">
        <f t="shared" si="72"/>
        <v>3</v>
      </c>
      <c r="DG37" s="25">
        <f>DF38+68.4</f>
        <v>71.4</v>
      </c>
      <c r="DH37" s="25">
        <f t="shared" si="72"/>
        <v>41.400000000000006</v>
      </c>
      <c r="DI37" s="25">
        <f t="shared" si="72"/>
        <v>0</v>
      </c>
      <c r="DJ37" s="25">
        <f t="shared" si="72"/>
        <v>0</v>
      </c>
      <c r="DK37" s="25">
        <f>DJ38+74.4</f>
        <v>74.4</v>
      </c>
      <c r="DL37" s="25">
        <f t="shared" si="72"/>
        <v>74.4</v>
      </c>
      <c r="DM37" s="25">
        <f t="shared" si="72"/>
        <v>74.4</v>
      </c>
      <c r="DN37" s="25">
        <f t="shared" si="72"/>
        <v>74.4</v>
      </c>
      <c r="DO37" s="25">
        <f t="shared" si="72"/>
        <v>74.4</v>
      </c>
      <c r="DP37" s="37">
        <f t="shared" si="72"/>
        <v>74.4</v>
      </c>
      <c r="DQ37" s="37">
        <f t="shared" si="72"/>
        <v>0</v>
      </c>
      <c r="DR37" s="37">
        <f t="shared" si="72"/>
        <v>0</v>
      </c>
      <c r="DS37" s="37">
        <f>DR38+1.9+118.8</f>
        <v>120.7</v>
      </c>
      <c r="DT37" s="37">
        <f t="shared" si="72"/>
        <v>120.7</v>
      </c>
      <c r="DU37" s="25">
        <f t="shared" si="72"/>
        <v>50.7</v>
      </c>
      <c r="DV37" s="25">
        <f t="shared" si="72"/>
        <v>50.7</v>
      </c>
      <c r="DW37" s="25">
        <f t="shared" si="72"/>
        <v>2.4000000000000057</v>
      </c>
      <c r="DX37" s="25">
        <f>DW38+154.4</f>
        <v>156.8</v>
      </c>
      <c r="DY37" s="25">
        <f t="shared" si="72"/>
        <v>156.8</v>
      </c>
      <c r="DZ37" s="25">
        <f t="shared" si="72"/>
        <v>124.4</v>
      </c>
      <c r="EA37" s="25">
        <f t="shared" si="72"/>
        <v>94.4</v>
      </c>
      <c r="EB37" s="25">
        <f>EA38</f>
        <v>94.4</v>
      </c>
      <c r="EC37" s="25">
        <f t="shared" si="72"/>
        <v>44.400000000000006</v>
      </c>
      <c r="ED37" s="25">
        <f aca="true" t="shared" si="73" ref="ED37:GO37">EC38</f>
        <v>0</v>
      </c>
      <c r="EE37" s="25">
        <f>ED38+168.5</f>
        <v>168.5</v>
      </c>
      <c r="EF37" s="25">
        <f t="shared" si="73"/>
        <v>123.5</v>
      </c>
      <c r="EG37" s="25">
        <f t="shared" si="73"/>
        <v>123.5</v>
      </c>
      <c r="EH37" s="25">
        <f t="shared" si="73"/>
        <v>123.5</v>
      </c>
      <c r="EI37" s="25">
        <f t="shared" si="73"/>
        <v>123.5</v>
      </c>
      <c r="EJ37" s="25">
        <f t="shared" si="73"/>
        <v>123.5</v>
      </c>
      <c r="EK37" s="25">
        <f>EJ38+189</f>
        <v>312.5</v>
      </c>
      <c r="EL37" s="25">
        <f t="shared" si="73"/>
        <v>312.5</v>
      </c>
      <c r="EM37" s="25">
        <f t="shared" si="73"/>
        <v>312.5</v>
      </c>
      <c r="EN37" s="25">
        <f t="shared" si="73"/>
        <v>312.5</v>
      </c>
      <c r="EO37" s="25">
        <f t="shared" si="73"/>
        <v>312.5</v>
      </c>
      <c r="EP37" s="25">
        <f>EO38+205+37.4</f>
        <v>554.9</v>
      </c>
      <c r="EQ37" s="25">
        <f t="shared" si="73"/>
        <v>245.89999999999998</v>
      </c>
      <c r="ER37" s="25">
        <f>EQ38</f>
        <v>245.89999999999998</v>
      </c>
      <c r="ES37" s="25">
        <f>ER38</f>
        <v>245.89999999999998</v>
      </c>
      <c r="ET37" s="25">
        <f>ES38-2.5</f>
        <v>243.39999999999998</v>
      </c>
      <c r="EU37" s="25">
        <f t="shared" si="73"/>
        <v>143.39999999999998</v>
      </c>
      <c r="EV37" s="25">
        <f>EU38+182.5+14.9+11.3</f>
        <v>307.09999999999997</v>
      </c>
      <c r="EW37" s="25">
        <f t="shared" si="73"/>
        <v>262.09999999999997</v>
      </c>
      <c r="EX37" s="25">
        <f t="shared" si="73"/>
        <v>212.09999999999997</v>
      </c>
      <c r="EY37" s="25">
        <f t="shared" si="73"/>
        <v>162.09999999999997</v>
      </c>
      <c r="EZ37" s="25">
        <f t="shared" si="73"/>
        <v>162.09999999999997</v>
      </c>
      <c r="FA37" s="25">
        <f t="shared" si="73"/>
        <v>112.09999999999997</v>
      </c>
      <c r="FB37" s="25">
        <f t="shared" si="73"/>
        <v>62.099999999999966</v>
      </c>
      <c r="FC37" s="25">
        <f t="shared" si="73"/>
        <v>26.099999999999966</v>
      </c>
      <c r="FD37" s="25">
        <f t="shared" si="73"/>
        <v>26.099999999999966</v>
      </c>
      <c r="FE37" s="25">
        <f t="shared" si="73"/>
        <v>-3.552713678800501E-14</v>
      </c>
      <c r="FF37" s="25">
        <f t="shared" si="73"/>
        <v>-3.552713678800501E-14</v>
      </c>
      <c r="FG37" s="25">
        <f>FF38+252.1</f>
        <v>252.09999999999997</v>
      </c>
      <c r="FH37" s="25">
        <f t="shared" si="73"/>
        <v>212.09999999999997</v>
      </c>
      <c r="FI37" s="25">
        <f t="shared" si="73"/>
        <v>172.09999999999997</v>
      </c>
      <c r="FJ37" s="25">
        <f t="shared" si="73"/>
        <v>132.09999999999997</v>
      </c>
      <c r="FK37" s="25">
        <f t="shared" si="73"/>
        <v>132.09999999999997</v>
      </c>
      <c r="FL37" s="25">
        <f t="shared" si="73"/>
        <v>132.09999999999997</v>
      </c>
      <c r="FM37" s="25">
        <f t="shared" si="73"/>
        <v>132.09999999999997</v>
      </c>
      <c r="FN37" s="25">
        <f>FM38+187.2+27.9</f>
        <v>347.19999999999993</v>
      </c>
      <c r="FO37" s="25">
        <f t="shared" si="73"/>
        <v>347.19999999999993</v>
      </c>
      <c r="FP37" s="25">
        <f t="shared" si="73"/>
        <v>347.19999999999993</v>
      </c>
      <c r="FQ37" s="25">
        <f t="shared" si="73"/>
        <v>347.19999999999993</v>
      </c>
      <c r="FR37" s="25">
        <f t="shared" si="73"/>
        <v>347.19999999999993</v>
      </c>
      <c r="FS37" s="25">
        <f t="shared" si="73"/>
        <v>62.19999999999993</v>
      </c>
      <c r="FT37" s="25">
        <f>FS38+44.4</f>
        <v>44.39999999999993</v>
      </c>
      <c r="FU37" s="25">
        <f t="shared" si="73"/>
        <v>44.39999999999993</v>
      </c>
      <c r="FV37" s="25">
        <f t="shared" si="73"/>
        <v>44.39999999999993</v>
      </c>
      <c r="FW37" s="25">
        <f t="shared" si="73"/>
        <v>44.39999999999993</v>
      </c>
      <c r="FX37" s="25">
        <f t="shared" si="73"/>
        <v>44.39999999999993</v>
      </c>
      <c r="FY37" s="25">
        <f t="shared" si="73"/>
        <v>-7.105427357601002E-14</v>
      </c>
      <c r="FZ37" s="25">
        <f t="shared" si="73"/>
        <v>-7.105427357601002E-14</v>
      </c>
      <c r="GA37" s="25">
        <f t="shared" si="73"/>
        <v>-7.105427357601002E-14</v>
      </c>
      <c r="GB37" s="25">
        <f t="shared" si="73"/>
        <v>-7.105427357601002E-14</v>
      </c>
      <c r="GC37" s="25">
        <f t="shared" si="73"/>
        <v>-7.105427357601002E-14</v>
      </c>
      <c r="GD37" s="25">
        <f t="shared" si="73"/>
        <v>-7.105427357601002E-14</v>
      </c>
      <c r="GE37" s="25">
        <f t="shared" si="73"/>
        <v>-7.105427357601002E-14</v>
      </c>
      <c r="GF37" s="25">
        <f t="shared" si="73"/>
        <v>-7.105427357601002E-14</v>
      </c>
      <c r="GG37" s="25">
        <f t="shared" si="73"/>
        <v>-7.105427357601002E-14</v>
      </c>
      <c r="GH37" s="25">
        <f t="shared" si="73"/>
        <v>-7.105427357601002E-14</v>
      </c>
      <c r="GI37" s="25">
        <f t="shared" si="73"/>
        <v>-7.105427357601002E-14</v>
      </c>
      <c r="GJ37" s="25">
        <f t="shared" si="73"/>
        <v>-7.105427357601002E-14</v>
      </c>
      <c r="GK37" s="25">
        <f t="shared" si="73"/>
        <v>-7.105427357601002E-14</v>
      </c>
      <c r="GL37" s="25">
        <f t="shared" si="73"/>
        <v>-7.105427357601002E-14</v>
      </c>
      <c r="GM37" s="25">
        <f t="shared" si="73"/>
        <v>-7.105427357601002E-14</v>
      </c>
      <c r="GN37" s="25">
        <f t="shared" si="73"/>
        <v>-7.105427357601002E-14</v>
      </c>
      <c r="GO37" s="25">
        <f t="shared" si="73"/>
        <v>-7.105427357601002E-14</v>
      </c>
    </row>
    <row r="38" spans="1:197" s="42" customFormat="1" ht="15">
      <c r="A38" s="35"/>
      <c r="B38" s="35"/>
      <c r="C38" s="24" t="s">
        <v>218</v>
      </c>
      <c r="D38" s="43">
        <f>D37-D36</f>
        <v>281.4</v>
      </c>
      <c r="E38" s="43">
        <f>E37-E36</f>
        <v>281.4</v>
      </c>
      <c r="F38" s="43">
        <f aca="true" t="shared" si="74" ref="F38:BQ38">F37-F36</f>
        <v>231.39999999999998</v>
      </c>
      <c r="G38" s="43">
        <f t="shared" si="74"/>
        <v>231.39999999999998</v>
      </c>
      <c r="H38" s="43">
        <f t="shared" si="74"/>
        <v>370.09999999999997</v>
      </c>
      <c r="I38" s="43">
        <f t="shared" si="74"/>
        <v>370.09999999999997</v>
      </c>
      <c r="J38" s="43">
        <f t="shared" si="74"/>
        <v>370.09999999999997</v>
      </c>
      <c r="K38" s="43">
        <f t="shared" si="74"/>
        <v>370.09999999999997</v>
      </c>
      <c r="L38" s="43">
        <f t="shared" si="74"/>
        <v>370.09999999999997</v>
      </c>
      <c r="M38" s="43">
        <f t="shared" si="74"/>
        <v>370.09999999999997</v>
      </c>
      <c r="N38" s="43">
        <f t="shared" si="74"/>
        <v>510.9</v>
      </c>
      <c r="O38" s="44">
        <f t="shared" si="74"/>
        <v>140.79999999999995</v>
      </c>
      <c r="P38" s="43">
        <f t="shared" si="74"/>
        <v>100.79999999999995</v>
      </c>
      <c r="Q38" s="43">
        <f t="shared" si="74"/>
        <v>100.79999999999995</v>
      </c>
      <c r="R38" s="43">
        <f t="shared" si="74"/>
        <v>50.799999999999955</v>
      </c>
      <c r="S38" s="43">
        <f t="shared" si="74"/>
        <v>0</v>
      </c>
      <c r="T38" s="43">
        <f t="shared" si="74"/>
        <v>123.6</v>
      </c>
      <c r="U38" s="43">
        <f t="shared" si="74"/>
        <v>123.6</v>
      </c>
      <c r="V38" s="43">
        <f t="shared" si="74"/>
        <v>123.6</v>
      </c>
      <c r="W38" s="43">
        <f t="shared" si="74"/>
        <v>123.6</v>
      </c>
      <c r="X38" s="44">
        <f t="shared" si="74"/>
        <v>33.599999999999994</v>
      </c>
      <c r="Y38" s="43">
        <f t="shared" si="74"/>
        <v>33.599999999999994</v>
      </c>
      <c r="Z38" s="43">
        <f t="shared" si="74"/>
        <v>200.3</v>
      </c>
      <c r="AA38" s="44">
        <f t="shared" si="74"/>
        <v>200.3</v>
      </c>
      <c r="AB38" s="43">
        <f t="shared" si="74"/>
        <v>155.3</v>
      </c>
      <c r="AC38" s="43">
        <f t="shared" si="74"/>
        <v>155.3</v>
      </c>
      <c r="AD38" s="44">
        <f t="shared" si="74"/>
        <v>105.30000000000001</v>
      </c>
      <c r="AE38" s="44">
        <f t="shared" si="74"/>
        <v>75.30000000000001</v>
      </c>
      <c r="AF38" s="43">
        <f t="shared" si="74"/>
        <v>156.60000000000002</v>
      </c>
      <c r="AG38" s="43">
        <f t="shared" si="74"/>
        <v>126.60000000000002</v>
      </c>
      <c r="AH38" s="43">
        <f t="shared" si="74"/>
        <v>96.60000000000002</v>
      </c>
      <c r="AI38" s="43">
        <f t="shared" si="74"/>
        <v>96.60000000000002</v>
      </c>
      <c r="AJ38" s="43">
        <f t="shared" si="74"/>
        <v>250.3</v>
      </c>
      <c r="AK38" s="43">
        <f t="shared" si="74"/>
        <v>250.3</v>
      </c>
      <c r="AL38" s="43">
        <f t="shared" si="74"/>
        <v>250.3</v>
      </c>
      <c r="AM38" s="43">
        <f t="shared" si="74"/>
        <v>250.3</v>
      </c>
      <c r="AN38" s="43">
        <f t="shared" si="74"/>
        <v>250.3</v>
      </c>
      <c r="AO38" s="43">
        <f t="shared" si="74"/>
        <v>250.3</v>
      </c>
      <c r="AP38" s="43">
        <f t="shared" si="74"/>
        <v>50.30000000000001</v>
      </c>
      <c r="AQ38" s="43">
        <f t="shared" si="74"/>
        <v>0</v>
      </c>
      <c r="AR38" s="43">
        <f t="shared" si="74"/>
        <v>109.4</v>
      </c>
      <c r="AS38" s="43">
        <f t="shared" si="74"/>
        <v>74.4</v>
      </c>
      <c r="AT38" s="43">
        <f t="shared" si="74"/>
        <v>39.400000000000006</v>
      </c>
      <c r="AU38" s="43">
        <f t="shared" si="74"/>
        <v>39.400000000000006</v>
      </c>
      <c r="AV38" s="43">
        <f t="shared" si="74"/>
        <v>39.400000000000006</v>
      </c>
      <c r="AW38" s="43">
        <f t="shared" si="74"/>
        <v>0</v>
      </c>
      <c r="AX38" s="43">
        <f t="shared" si="74"/>
        <v>159.5</v>
      </c>
      <c r="AY38" s="43">
        <f t="shared" si="74"/>
        <v>129.5</v>
      </c>
      <c r="AZ38" s="43">
        <f t="shared" si="74"/>
        <v>89.5</v>
      </c>
      <c r="BA38" s="43">
        <f t="shared" si="74"/>
        <v>89.5</v>
      </c>
      <c r="BB38" s="43">
        <f t="shared" si="74"/>
        <v>89.5</v>
      </c>
      <c r="BC38" s="43">
        <f t="shared" si="74"/>
        <v>0</v>
      </c>
      <c r="BD38" s="43">
        <f t="shared" si="74"/>
        <v>115.69999999999999</v>
      </c>
      <c r="BE38" s="43">
        <f t="shared" si="74"/>
        <v>90.69999999999999</v>
      </c>
      <c r="BF38" s="43">
        <f t="shared" si="74"/>
        <v>60.69999999999999</v>
      </c>
      <c r="BG38" s="43">
        <f t="shared" si="74"/>
        <v>60.69999999999999</v>
      </c>
      <c r="BH38" s="43">
        <f t="shared" si="74"/>
        <v>30.69999999999999</v>
      </c>
      <c r="BI38" s="43">
        <f t="shared" si="74"/>
        <v>0</v>
      </c>
      <c r="BJ38" s="43">
        <f t="shared" si="74"/>
        <v>0</v>
      </c>
      <c r="BK38" s="43">
        <f t="shared" si="74"/>
        <v>169.9</v>
      </c>
      <c r="BL38" s="43">
        <f t="shared" si="74"/>
        <v>169.9</v>
      </c>
      <c r="BM38" s="43">
        <f t="shared" si="74"/>
        <v>169.9</v>
      </c>
      <c r="BN38" s="43">
        <f t="shared" si="74"/>
        <v>169.9</v>
      </c>
      <c r="BO38" s="43">
        <f t="shared" si="74"/>
        <v>169.9</v>
      </c>
      <c r="BP38" s="43">
        <f t="shared" si="74"/>
        <v>7.699999999999989</v>
      </c>
      <c r="BQ38" s="43">
        <f t="shared" si="74"/>
        <v>7.699999999999989</v>
      </c>
      <c r="BR38" s="43">
        <f aca="true" t="shared" si="75" ref="BR38:EC38">BR37-BR36</f>
        <v>7.699999999999989</v>
      </c>
      <c r="BS38" s="43">
        <f t="shared" si="75"/>
        <v>7.699999999999989</v>
      </c>
      <c r="BT38" s="45">
        <f t="shared" si="75"/>
        <v>7.699999999999989</v>
      </c>
      <c r="BU38" s="45">
        <f t="shared" si="75"/>
        <v>7.699999999999989</v>
      </c>
      <c r="BV38" s="45">
        <f t="shared" si="75"/>
        <v>141.5</v>
      </c>
      <c r="BW38" s="43">
        <f t="shared" si="75"/>
        <v>41.5</v>
      </c>
      <c r="BX38" s="43">
        <f t="shared" si="75"/>
        <v>41.5</v>
      </c>
      <c r="BY38" s="43">
        <f t="shared" si="75"/>
        <v>41.5</v>
      </c>
      <c r="BZ38" s="43">
        <f t="shared" si="75"/>
        <v>41.5</v>
      </c>
      <c r="CA38" s="43">
        <f t="shared" si="75"/>
        <v>0</v>
      </c>
      <c r="CB38" s="43">
        <f t="shared" si="75"/>
        <v>149.5</v>
      </c>
      <c r="CC38" s="43">
        <f t="shared" si="75"/>
        <v>114.5</v>
      </c>
      <c r="CD38" s="43">
        <f t="shared" si="75"/>
        <v>79.5</v>
      </c>
      <c r="CE38" s="43">
        <f t="shared" si="75"/>
        <v>79.5</v>
      </c>
      <c r="CF38" s="43">
        <f t="shared" si="75"/>
        <v>44.5</v>
      </c>
      <c r="CG38" s="43">
        <f t="shared" si="75"/>
        <v>9.5</v>
      </c>
      <c r="CH38" s="43">
        <f t="shared" si="75"/>
        <v>228.10000000000002</v>
      </c>
      <c r="CI38" s="43">
        <f t="shared" si="75"/>
        <v>228.10000000000002</v>
      </c>
      <c r="CJ38" s="43">
        <f t="shared" si="75"/>
        <v>138.10000000000002</v>
      </c>
      <c r="CK38" s="43">
        <f t="shared" si="75"/>
        <v>138.10000000000002</v>
      </c>
      <c r="CL38" s="43">
        <f t="shared" si="75"/>
        <v>138.10000000000002</v>
      </c>
      <c r="CM38" s="43">
        <f t="shared" si="75"/>
        <v>138.10000000000002</v>
      </c>
      <c r="CN38" s="43">
        <f t="shared" si="75"/>
        <v>138.10000000000002</v>
      </c>
      <c r="CO38" s="43">
        <f t="shared" si="75"/>
        <v>319.90000000000003</v>
      </c>
      <c r="CP38" s="43">
        <f t="shared" si="75"/>
        <v>119.90000000000003</v>
      </c>
      <c r="CQ38" s="43">
        <f t="shared" si="75"/>
        <v>119.90000000000003</v>
      </c>
      <c r="CR38" s="43">
        <f t="shared" si="75"/>
        <v>59.900000000000034</v>
      </c>
      <c r="CS38" s="43">
        <f t="shared" si="75"/>
        <v>0</v>
      </c>
      <c r="CT38" s="43">
        <f t="shared" si="75"/>
        <v>0</v>
      </c>
      <c r="CU38" s="43">
        <f t="shared" si="75"/>
        <v>123.19999999999999</v>
      </c>
      <c r="CV38" s="43">
        <f t="shared" si="75"/>
        <v>73.19999999999999</v>
      </c>
      <c r="CW38" s="43">
        <f t="shared" si="75"/>
        <v>73.19999999999999</v>
      </c>
      <c r="CX38" s="43">
        <f t="shared" si="75"/>
        <v>73.19999999999999</v>
      </c>
      <c r="CY38" s="43">
        <f t="shared" si="75"/>
        <v>73.19999999999999</v>
      </c>
      <c r="CZ38" s="43">
        <f t="shared" si="75"/>
        <v>0</v>
      </c>
      <c r="DA38" s="43">
        <f t="shared" si="75"/>
        <v>51</v>
      </c>
      <c r="DB38" s="43">
        <f t="shared" si="75"/>
        <v>51</v>
      </c>
      <c r="DC38" s="43">
        <f t="shared" si="75"/>
        <v>51</v>
      </c>
      <c r="DD38" s="43">
        <f t="shared" si="75"/>
        <v>51</v>
      </c>
      <c r="DE38" s="43">
        <f t="shared" si="75"/>
        <v>3</v>
      </c>
      <c r="DF38" s="43">
        <f t="shared" si="75"/>
        <v>3</v>
      </c>
      <c r="DG38" s="43">
        <f t="shared" si="75"/>
        <v>41.400000000000006</v>
      </c>
      <c r="DH38" s="43">
        <f t="shared" si="75"/>
        <v>0</v>
      </c>
      <c r="DI38" s="43">
        <f t="shared" si="75"/>
        <v>0</v>
      </c>
      <c r="DJ38" s="43">
        <f t="shared" si="75"/>
        <v>0</v>
      </c>
      <c r="DK38" s="43">
        <f t="shared" si="75"/>
        <v>74.4</v>
      </c>
      <c r="DL38" s="43">
        <f t="shared" si="75"/>
        <v>74.4</v>
      </c>
      <c r="DM38" s="43">
        <f t="shared" si="75"/>
        <v>74.4</v>
      </c>
      <c r="DN38" s="43">
        <f t="shared" si="75"/>
        <v>74.4</v>
      </c>
      <c r="DO38" s="43">
        <f t="shared" si="75"/>
        <v>74.4</v>
      </c>
      <c r="DP38" s="44">
        <f t="shared" si="75"/>
        <v>0</v>
      </c>
      <c r="DQ38" s="44">
        <f t="shared" si="75"/>
        <v>0</v>
      </c>
      <c r="DR38" s="44">
        <f t="shared" si="75"/>
        <v>0</v>
      </c>
      <c r="DS38" s="44">
        <f t="shared" si="75"/>
        <v>120.7</v>
      </c>
      <c r="DT38" s="44">
        <f t="shared" si="75"/>
        <v>50.7</v>
      </c>
      <c r="DU38" s="43">
        <f t="shared" si="75"/>
        <v>50.7</v>
      </c>
      <c r="DV38" s="43">
        <f t="shared" si="75"/>
        <v>2.4000000000000057</v>
      </c>
      <c r="DW38" s="43">
        <f t="shared" si="75"/>
        <v>2.4000000000000057</v>
      </c>
      <c r="DX38" s="43">
        <f t="shared" si="75"/>
        <v>156.8</v>
      </c>
      <c r="DY38" s="43">
        <f t="shared" si="75"/>
        <v>124.4</v>
      </c>
      <c r="DZ38" s="43">
        <f t="shared" si="75"/>
        <v>94.4</v>
      </c>
      <c r="EA38" s="43">
        <f t="shared" si="75"/>
        <v>94.4</v>
      </c>
      <c r="EB38" s="43">
        <f t="shared" si="75"/>
        <v>44.400000000000006</v>
      </c>
      <c r="EC38" s="43">
        <f t="shared" si="75"/>
        <v>0</v>
      </c>
      <c r="ED38" s="43">
        <f aca="true" t="shared" si="76" ref="ED38:GO38">ED37-ED36</f>
        <v>0</v>
      </c>
      <c r="EE38" s="43">
        <f t="shared" si="76"/>
        <v>123.5</v>
      </c>
      <c r="EF38" s="43">
        <f t="shared" si="76"/>
        <v>123.5</v>
      </c>
      <c r="EG38" s="43">
        <f t="shared" si="76"/>
        <v>123.5</v>
      </c>
      <c r="EH38" s="43">
        <f t="shared" si="76"/>
        <v>123.5</v>
      </c>
      <c r="EI38" s="43">
        <f t="shared" si="76"/>
        <v>123.5</v>
      </c>
      <c r="EJ38" s="43">
        <f t="shared" si="76"/>
        <v>123.5</v>
      </c>
      <c r="EK38" s="43">
        <f t="shared" si="76"/>
        <v>312.5</v>
      </c>
      <c r="EL38" s="43">
        <f t="shared" si="76"/>
        <v>312.5</v>
      </c>
      <c r="EM38" s="43">
        <f t="shared" si="76"/>
        <v>312.5</v>
      </c>
      <c r="EN38" s="43">
        <f t="shared" si="76"/>
        <v>312.5</v>
      </c>
      <c r="EO38" s="43">
        <f t="shared" si="76"/>
        <v>312.5</v>
      </c>
      <c r="EP38" s="43">
        <f t="shared" si="76"/>
        <v>245.89999999999998</v>
      </c>
      <c r="EQ38" s="43">
        <f t="shared" si="76"/>
        <v>245.89999999999998</v>
      </c>
      <c r="ER38" s="43">
        <f t="shared" si="76"/>
        <v>245.89999999999998</v>
      </c>
      <c r="ES38" s="43">
        <f t="shared" si="76"/>
        <v>245.89999999999998</v>
      </c>
      <c r="ET38" s="43">
        <f t="shared" si="76"/>
        <v>143.39999999999998</v>
      </c>
      <c r="EU38" s="43">
        <f t="shared" si="76"/>
        <v>98.39999999999998</v>
      </c>
      <c r="EV38" s="43">
        <f t="shared" si="76"/>
        <v>262.09999999999997</v>
      </c>
      <c r="EW38" s="43">
        <f t="shared" si="76"/>
        <v>212.09999999999997</v>
      </c>
      <c r="EX38" s="43">
        <f t="shared" si="76"/>
        <v>162.09999999999997</v>
      </c>
      <c r="EY38" s="43">
        <f t="shared" si="76"/>
        <v>162.09999999999997</v>
      </c>
      <c r="EZ38" s="43">
        <f t="shared" si="76"/>
        <v>112.09999999999997</v>
      </c>
      <c r="FA38" s="43">
        <f t="shared" si="76"/>
        <v>62.099999999999966</v>
      </c>
      <c r="FB38" s="43">
        <f t="shared" si="76"/>
        <v>26.099999999999966</v>
      </c>
      <c r="FC38" s="43">
        <f t="shared" si="76"/>
        <v>26.099999999999966</v>
      </c>
      <c r="FD38" s="43">
        <f t="shared" si="76"/>
        <v>-3.552713678800501E-14</v>
      </c>
      <c r="FE38" s="43">
        <f t="shared" si="76"/>
        <v>-3.552713678800501E-14</v>
      </c>
      <c r="FF38" s="43">
        <f t="shared" si="76"/>
        <v>-3.552713678800501E-14</v>
      </c>
      <c r="FG38" s="43">
        <f t="shared" si="76"/>
        <v>212.09999999999997</v>
      </c>
      <c r="FH38" s="43">
        <f t="shared" si="76"/>
        <v>172.09999999999997</v>
      </c>
      <c r="FI38" s="43">
        <f t="shared" si="76"/>
        <v>132.09999999999997</v>
      </c>
      <c r="FJ38" s="43">
        <f t="shared" si="76"/>
        <v>132.09999999999997</v>
      </c>
      <c r="FK38" s="43">
        <f t="shared" si="76"/>
        <v>132.09999999999997</v>
      </c>
      <c r="FL38" s="43">
        <f t="shared" si="76"/>
        <v>132.09999999999997</v>
      </c>
      <c r="FM38" s="43">
        <f t="shared" si="76"/>
        <v>132.09999999999997</v>
      </c>
      <c r="FN38" s="43">
        <f t="shared" si="76"/>
        <v>347.19999999999993</v>
      </c>
      <c r="FO38" s="43">
        <f t="shared" si="76"/>
        <v>347.19999999999993</v>
      </c>
      <c r="FP38" s="43">
        <f t="shared" si="76"/>
        <v>347.19999999999993</v>
      </c>
      <c r="FQ38" s="43">
        <f t="shared" si="76"/>
        <v>347.19999999999993</v>
      </c>
      <c r="FR38" s="43">
        <f t="shared" si="76"/>
        <v>62.19999999999993</v>
      </c>
      <c r="FS38" s="43">
        <f t="shared" si="76"/>
        <v>-7.105427357601002E-14</v>
      </c>
      <c r="FT38" s="43">
        <f t="shared" si="76"/>
        <v>44.39999999999993</v>
      </c>
      <c r="FU38" s="43">
        <f t="shared" si="76"/>
        <v>44.39999999999993</v>
      </c>
      <c r="FV38" s="43">
        <f t="shared" si="76"/>
        <v>44.39999999999993</v>
      </c>
      <c r="FW38" s="43">
        <f t="shared" si="76"/>
        <v>44.39999999999993</v>
      </c>
      <c r="FX38" s="43">
        <f t="shared" si="76"/>
        <v>-7.105427357601002E-14</v>
      </c>
      <c r="FY38" s="43">
        <f t="shared" si="76"/>
        <v>-7.105427357601002E-14</v>
      </c>
      <c r="FZ38" s="43">
        <f t="shared" si="76"/>
        <v>-7.105427357601002E-14</v>
      </c>
      <c r="GA38" s="43">
        <f t="shared" si="76"/>
        <v>-7.105427357601002E-14</v>
      </c>
      <c r="GB38" s="43">
        <f t="shared" si="76"/>
        <v>-7.105427357601002E-14</v>
      </c>
      <c r="GC38" s="43">
        <f t="shared" si="76"/>
        <v>-7.105427357601002E-14</v>
      </c>
      <c r="GD38" s="43">
        <f t="shared" si="76"/>
        <v>-7.105427357601002E-14</v>
      </c>
      <c r="GE38" s="43">
        <f t="shared" si="76"/>
        <v>-7.105427357601002E-14</v>
      </c>
      <c r="GF38" s="43">
        <f t="shared" si="76"/>
        <v>-7.105427357601002E-14</v>
      </c>
      <c r="GG38" s="43">
        <f t="shared" si="76"/>
        <v>-7.105427357601002E-14</v>
      </c>
      <c r="GH38" s="43">
        <f t="shared" si="76"/>
        <v>-7.105427357601002E-14</v>
      </c>
      <c r="GI38" s="43">
        <f t="shared" si="76"/>
        <v>-7.105427357601002E-14</v>
      </c>
      <c r="GJ38" s="43">
        <f t="shared" si="76"/>
        <v>-7.105427357601002E-14</v>
      </c>
      <c r="GK38" s="43">
        <f t="shared" si="76"/>
        <v>-7.105427357601002E-14</v>
      </c>
      <c r="GL38" s="43">
        <f t="shared" si="76"/>
        <v>-7.105427357601002E-14</v>
      </c>
      <c r="GM38" s="43">
        <f t="shared" si="76"/>
        <v>-7.105427357601002E-14</v>
      </c>
      <c r="GN38" s="43">
        <f t="shared" si="76"/>
        <v>-7.105427357601002E-14</v>
      </c>
      <c r="GO38" s="43">
        <f t="shared" si="76"/>
        <v>-7.105427357601002E-14</v>
      </c>
    </row>
    <row r="39" spans="1:256" s="9" customFormat="1" ht="15">
      <c r="A39" s="4" t="s">
        <v>230</v>
      </c>
      <c r="B39" s="4">
        <v>21</v>
      </c>
      <c r="C39" s="12" t="s">
        <v>216</v>
      </c>
      <c r="D39" s="19">
        <v>30</v>
      </c>
      <c r="F39" s="19">
        <v>30</v>
      </c>
      <c r="G39" s="19">
        <v>37.2</v>
      </c>
      <c r="O39" s="19">
        <v>220</v>
      </c>
      <c r="P39" s="19">
        <v>40.7</v>
      </c>
      <c r="X39" s="29"/>
      <c r="AA39" s="29"/>
      <c r="AD39" s="29"/>
      <c r="AE39" s="29"/>
      <c r="AP39" s="19">
        <v>250</v>
      </c>
      <c r="AR39" s="19">
        <v>30</v>
      </c>
      <c r="AS39" s="19">
        <v>30</v>
      </c>
      <c r="AT39" s="19">
        <v>31.5</v>
      </c>
      <c r="BC39" s="30">
        <v>50</v>
      </c>
      <c r="BD39" s="30">
        <v>50</v>
      </c>
      <c r="BE39" s="30">
        <v>50</v>
      </c>
      <c r="BF39" s="30">
        <v>50</v>
      </c>
      <c r="BP39" s="19">
        <v>71.4</v>
      </c>
      <c r="BT39" s="31"/>
      <c r="BU39" s="31"/>
      <c r="BV39" s="31"/>
      <c r="BX39" s="30">
        <v>30</v>
      </c>
      <c r="BZ39" s="30">
        <v>40</v>
      </c>
      <c r="CA39" s="30">
        <v>40</v>
      </c>
      <c r="CB39" s="30">
        <v>40</v>
      </c>
      <c r="CC39" s="30">
        <v>40</v>
      </c>
      <c r="CD39" s="19">
        <v>25.4</v>
      </c>
      <c r="CR39" s="30">
        <v>50</v>
      </c>
      <c r="CS39" s="30">
        <v>50</v>
      </c>
      <c r="CT39" s="30">
        <v>30</v>
      </c>
      <c r="CU39" s="30">
        <v>30</v>
      </c>
      <c r="CV39" s="30">
        <v>34.9</v>
      </c>
      <c r="DP39" s="19">
        <v>55.6</v>
      </c>
      <c r="DQ39" s="29"/>
      <c r="DR39" s="29"/>
      <c r="DS39" s="29"/>
      <c r="DT39" s="29"/>
      <c r="DV39" s="30">
        <v>30</v>
      </c>
      <c r="DW39" s="30">
        <v>40</v>
      </c>
      <c r="DX39" s="30">
        <v>40</v>
      </c>
      <c r="EC39" s="30">
        <v>20</v>
      </c>
      <c r="ED39" s="30">
        <v>20</v>
      </c>
      <c r="EE39" s="30">
        <v>22.6</v>
      </c>
      <c r="EQ39" s="19">
        <v>77.4</v>
      </c>
      <c r="ET39" s="30">
        <v>40</v>
      </c>
      <c r="FD39" s="30">
        <v>35.1</v>
      </c>
      <c r="FG39" s="99">
        <v>35</v>
      </c>
      <c r="FH39" s="99">
        <v>35</v>
      </c>
      <c r="FI39" s="99">
        <v>30</v>
      </c>
      <c r="FX39" s="9">
        <v>45</v>
      </c>
      <c r="FY39" s="9">
        <v>45</v>
      </c>
      <c r="FZ39" s="9">
        <v>45</v>
      </c>
      <c r="GA39" s="100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197" ht="15">
      <c r="A40" s="28"/>
      <c r="B40" s="28"/>
      <c r="C40" s="24" t="s">
        <v>217</v>
      </c>
      <c r="D40" s="14">
        <v>97.2</v>
      </c>
      <c r="E40" s="14">
        <f>D41</f>
        <v>67.2</v>
      </c>
      <c r="F40" s="14">
        <f aca="true" t="shared" si="77" ref="F40:BQ40">E41</f>
        <v>67.2</v>
      </c>
      <c r="G40" s="14">
        <f t="shared" si="77"/>
        <v>37.2</v>
      </c>
      <c r="H40" s="14">
        <f t="shared" si="77"/>
        <v>0</v>
      </c>
      <c r="I40" s="14">
        <f>H41+5.8+252.8+2.1</f>
        <v>260.70000000000005</v>
      </c>
      <c r="J40" s="14">
        <f t="shared" si="77"/>
        <v>260.70000000000005</v>
      </c>
      <c r="K40" s="14">
        <f t="shared" si="77"/>
        <v>260.70000000000005</v>
      </c>
      <c r="L40" s="14">
        <f t="shared" si="77"/>
        <v>260.70000000000005</v>
      </c>
      <c r="M40" s="14">
        <f t="shared" si="77"/>
        <v>260.70000000000005</v>
      </c>
      <c r="N40" s="14">
        <f t="shared" si="77"/>
        <v>260.70000000000005</v>
      </c>
      <c r="O40" s="15">
        <f t="shared" si="77"/>
        <v>260.70000000000005</v>
      </c>
      <c r="P40" s="14">
        <f t="shared" si="77"/>
        <v>40.700000000000045</v>
      </c>
      <c r="Q40" s="14">
        <f t="shared" si="77"/>
        <v>0</v>
      </c>
      <c r="R40" s="14">
        <f t="shared" si="77"/>
        <v>0</v>
      </c>
      <c r="S40" s="14">
        <f t="shared" si="77"/>
        <v>0</v>
      </c>
      <c r="T40" s="14">
        <f t="shared" si="77"/>
        <v>0</v>
      </c>
      <c r="U40" s="14">
        <f t="shared" si="77"/>
        <v>0</v>
      </c>
      <c r="V40" s="14">
        <f t="shared" si="77"/>
        <v>0</v>
      </c>
      <c r="W40" s="14">
        <f t="shared" si="77"/>
        <v>0</v>
      </c>
      <c r="X40" s="15">
        <f t="shared" si="77"/>
        <v>0</v>
      </c>
      <c r="Y40" s="14">
        <f t="shared" si="77"/>
        <v>0</v>
      </c>
      <c r="Z40" s="14">
        <f t="shared" si="77"/>
        <v>0</v>
      </c>
      <c r="AA40" s="15">
        <f t="shared" si="77"/>
        <v>0</v>
      </c>
      <c r="AB40" s="14">
        <f t="shared" si="77"/>
        <v>0</v>
      </c>
      <c r="AC40" s="14">
        <f t="shared" si="77"/>
        <v>0</v>
      </c>
      <c r="AD40" s="15">
        <f t="shared" si="77"/>
        <v>0</v>
      </c>
      <c r="AE40" s="15">
        <f t="shared" si="77"/>
        <v>0</v>
      </c>
      <c r="AF40" s="14">
        <f t="shared" si="77"/>
        <v>0</v>
      </c>
      <c r="AG40" s="14">
        <f t="shared" si="77"/>
        <v>0</v>
      </c>
      <c r="AH40" s="14">
        <f t="shared" si="77"/>
        <v>0</v>
      </c>
      <c r="AI40" s="14">
        <f t="shared" si="77"/>
        <v>0</v>
      </c>
      <c r="AJ40" s="14">
        <f t="shared" si="77"/>
        <v>0</v>
      </c>
      <c r="AK40" s="14">
        <f>AJ41+341.5</f>
        <v>341.5</v>
      </c>
      <c r="AL40" s="14">
        <f t="shared" si="77"/>
        <v>341.5</v>
      </c>
      <c r="AM40" s="14">
        <f t="shared" si="77"/>
        <v>341.5</v>
      </c>
      <c r="AN40" s="14">
        <f t="shared" si="77"/>
        <v>341.5</v>
      </c>
      <c r="AO40" s="14">
        <f t="shared" si="77"/>
        <v>341.5</v>
      </c>
      <c r="AP40" s="14">
        <f t="shared" si="77"/>
        <v>341.5</v>
      </c>
      <c r="AQ40" s="14">
        <f t="shared" si="77"/>
        <v>91.5</v>
      </c>
      <c r="AR40" s="14">
        <f t="shared" si="77"/>
        <v>91.5</v>
      </c>
      <c r="AS40" s="14">
        <f t="shared" si="77"/>
        <v>61.5</v>
      </c>
      <c r="AT40" s="14">
        <f t="shared" si="77"/>
        <v>31.5</v>
      </c>
      <c r="AU40" s="14">
        <f t="shared" si="77"/>
        <v>0</v>
      </c>
      <c r="AV40" s="14">
        <f t="shared" si="77"/>
        <v>0</v>
      </c>
      <c r="AW40" s="14">
        <f t="shared" si="77"/>
        <v>0</v>
      </c>
      <c r="AX40" s="14">
        <f t="shared" si="77"/>
        <v>0</v>
      </c>
      <c r="AY40" s="14">
        <f t="shared" si="77"/>
        <v>0</v>
      </c>
      <c r="AZ40" s="14">
        <f t="shared" si="77"/>
        <v>0</v>
      </c>
      <c r="BA40" s="14">
        <f t="shared" si="77"/>
        <v>0</v>
      </c>
      <c r="BB40" s="14">
        <f t="shared" si="77"/>
        <v>0</v>
      </c>
      <c r="BC40" s="14">
        <f>BB41+271.4</f>
        <v>271.4</v>
      </c>
      <c r="BD40" s="14">
        <f t="shared" si="77"/>
        <v>221.39999999999998</v>
      </c>
      <c r="BE40" s="14">
        <f t="shared" si="77"/>
        <v>171.39999999999998</v>
      </c>
      <c r="BF40" s="14">
        <f t="shared" si="77"/>
        <v>121.39999999999998</v>
      </c>
      <c r="BG40" s="14">
        <f t="shared" si="77"/>
        <v>71.39999999999998</v>
      </c>
      <c r="BH40" s="14">
        <f t="shared" si="77"/>
        <v>71.39999999999998</v>
      </c>
      <c r="BI40" s="14">
        <f t="shared" si="77"/>
        <v>71.39999999999998</v>
      </c>
      <c r="BJ40" s="14">
        <f t="shared" si="77"/>
        <v>71.39999999999998</v>
      </c>
      <c r="BK40" s="14">
        <f t="shared" si="77"/>
        <v>71.39999999999998</v>
      </c>
      <c r="BL40" s="14">
        <f t="shared" si="77"/>
        <v>71.39999999999998</v>
      </c>
      <c r="BM40" s="14">
        <f t="shared" si="77"/>
        <v>71.39999999999998</v>
      </c>
      <c r="BN40" s="14">
        <f t="shared" si="77"/>
        <v>71.39999999999998</v>
      </c>
      <c r="BO40" s="14">
        <f t="shared" si="77"/>
        <v>71.39999999999998</v>
      </c>
      <c r="BP40" s="14">
        <f t="shared" si="77"/>
        <v>71.39999999999998</v>
      </c>
      <c r="BQ40" s="14">
        <f t="shared" si="77"/>
        <v>0</v>
      </c>
      <c r="BR40" s="14">
        <f aca="true" t="shared" si="78" ref="BR40:EC40">BQ41</f>
        <v>0</v>
      </c>
      <c r="BS40" s="14">
        <f t="shared" si="78"/>
        <v>0</v>
      </c>
      <c r="BT40" s="26">
        <f t="shared" si="78"/>
        <v>0</v>
      </c>
      <c r="BU40" s="26">
        <f>BT41+215.4</f>
        <v>215.4</v>
      </c>
      <c r="BV40" s="26">
        <f t="shared" si="78"/>
        <v>215.4</v>
      </c>
      <c r="BW40" s="14">
        <f t="shared" si="78"/>
        <v>215.4</v>
      </c>
      <c r="BX40" s="14">
        <f t="shared" si="78"/>
        <v>215.4</v>
      </c>
      <c r="BY40" s="14">
        <f t="shared" si="78"/>
        <v>185.4</v>
      </c>
      <c r="BZ40" s="14">
        <f t="shared" si="78"/>
        <v>185.4</v>
      </c>
      <c r="CA40" s="14">
        <f t="shared" si="78"/>
        <v>145.4</v>
      </c>
      <c r="CB40" s="14">
        <f t="shared" si="78"/>
        <v>105.4</v>
      </c>
      <c r="CC40" s="14">
        <f t="shared" si="78"/>
        <v>65.4</v>
      </c>
      <c r="CD40" s="14">
        <f t="shared" si="78"/>
        <v>25.400000000000006</v>
      </c>
      <c r="CE40" s="14">
        <f t="shared" si="78"/>
        <v>0</v>
      </c>
      <c r="CF40" s="14">
        <f t="shared" si="78"/>
        <v>0</v>
      </c>
      <c r="CG40" s="14">
        <f t="shared" si="78"/>
        <v>0</v>
      </c>
      <c r="CH40" s="14">
        <f t="shared" si="78"/>
        <v>0</v>
      </c>
      <c r="CI40" s="14">
        <f t="shared" si="78"/>
        <v>0</v>
      </c>
      <c r="CJ40" s="14">
        <f t="shared" si="78"/>
        <v>0</v>
      </c>
      <c r="CK40" s="14">
        <f t="shared" si="78"/>
        <v>0</v>
      </c>
      <c r="CL40" s="14">
        <f t="shared" si="78"/>
        <v>0</v>
      </c>
      <c r="CM40" s="14">
        <f t="shared" si="78"/>
        <v>0</v>
      </c>
      <c r="CN40" s="14">
        <f t="shared" si="78"/>
        <v>0</v>
      </c>
      <c r="CO40" s="14">
        <f>CN41+194.9</f>
        <v>194.9</v>
      </c>
      <c r="CP40" s="14">
        <f t="shared" si="78"/>
        <v>194.9</v>
      </c>
      <c r="CQ40" s="14">
        <f t="shared" si="78"/>
        <v>194.9</v>
      </c>
      <c r="CR40" s="14">
        <f t="shared" si="78"/>
        <v>194.9</v>
      </c>
      <c r="CS40" s="14">
        <f t="shared" si="78"/>
        <v>144.9</v>
      </c>
      <c r="CT40" s="14">
        <f t="shared" si="78"/>
        <v>94.9</v>
      </c>
      <c r="CU40" s="14">
        <f t="shared" si="78"/>
        <v>64.9</v>
      </c>
      <c r="CV40" s="14">
        <f t="shared" si="78"/>
        <v>34.900000000000006</v>
      </c>
      <c r="CW40" s="14">
        <f t="shared" si="78"/>
        <v>0</v>
      </c>
      <c r="CX40" s="14">
        <f t="shared" si="78"/>
        <v>0</v>
      </c>
      <c r="CY40" s="14">
        <f t="shared" si="78"/>
        <v>0</v>
      </c>
      <c r="CZ40" s="14">
        <f t="shared" si="78"/>
        <v>0</v>
      </c>
      <c r="DA40" s="14">
        <f t="shared" si="78"/>
        <v>0</v>
      </c>
      <c r="DB40" s="14">
        <f t="shared" si="78"/>
        <v>0</v>
      </c>
      <c r="DC40" s="14">
        <f t="shared" si="78"/>
        <v>0</v>
      </c>
      <c r="DD40" s="14">
        <f t="shared" si="78"/>
        <v>0</v>
      </c>
      <c r="DE40" s="14">
        <f>DD41+55.6</f>
        <v>55.6</v>
      </c>
      <c r="DF40" s="14">
        <f t="shared" si="78"/>
        <v>55.6</v>
      </c>
      <c r="DG40" s="14">
        <f t="shared" si="78"/>
        <v>55.6</v>
      </c>
      <c r="DH40" s="14">
        <f t="shared" si="78"/>
        <v>55.6</v>
      </c>
      <c r="DI40" s="14">
        <f t="shared" si="78"/>
        <v>55.6</v>
      </c>
      <c r="DJ40" s="14">
        <f t="shared" si="78"/>
        <v>55.6</v>
      </c>
      <c r="DK40" s="14">
        <f t="shared" si="78"/>
        <v>55.6</v>
      </c>
      <c r="DL40" s="14">
        <f t="shared" si="78"/>
        <v>55.6</v>
      </c>
      <c r="DM40" s="14">
        <f t="shared" si="78"/>
        <v>55.6</v>
      </c>
      <c r="DN40" s="14">
        <f t="shared" si="78"/>
        <v>55.6</v>
      </c>
      <c r="DO40" s="14">
        <f t="shared" si="78"/>
        <v>55.6</v>
      </c>
      <c r="DP40" s="15">
        <f t="shared" si="78"/>
        <v>55.6</v>
      </c>
      <c r="DQ40" s="15">
        <f t="shared" si="78"/>
        <v>0</v>
      </c>
      <c r="DR40" s="15">
        <f t="shared" si="78"/>
        <v>0</v>
      </c>
      <c r="DS40" s="15">
        <f>DR41+145.2+27.4</f>
        <v>172.6</v>
      </c>
      <c r="DT40" s="15">
        <f t="shared" si="78"/>
        <v>172.6</v>
      </c>
      <c r="DU40" s="14">
        <f t="shared" si="78"/>
        <v>172.6</v>
      </c>
      <c r="DV40" s="14">
        <f t="shared" si="78"/>
        <v>172.6</v>
      </c>
      <c r="DW40" s="14">
        <f t="shared" si="78"/>
        <v>142.6</v>
      </c>
      <c r="DX40" s="14">
        <f t="shared" si="78"/>
        <v>102.6</v>
      </c>
      <c r="DY40" s="14">
        <f t="shared" si="78"/>
        <v>62.599999999999994</v>
      </c>
      <c r="DZ40" s="14">
        <f t="shared" si="78"/>
        <v>62.599999999999994</v>
      </c>
      <c r="EA40" s="14">
        <f t="shared" si="78"/>
        <v>62.599999999999994</v>
      </c>
      <c r="EB40" s="14">
        <f t="shared" si="78"/>
        <v>62.599999999999994</v>
      </c>
      <c r="EC40" s="14">
        <f t="shared" si="78"/>
        <v>62.599999999999994</v>
      </c>
      <c r="ED40" s="14">
        <f aca="true" t="shared" si="79" ref="ED40:GO40">EC41</f>
        <v>42.599999999999994</v>
      </c>
      <c r="EE40" s="14">
        <f t="shared" si="79"/>
        <v>22.599999999999994</v>
      </c>
      <c r="EF40" s="14">
        <f t="shared" si="79"/>
        <v>0</v>
      </c>
      <c r="EG40" s="14">
        <f t="shared" si="79"/>
        <v>0</v>
      </c>
      <c r="EH40" s="14">
        <f t="shared" si="79"/>
        <v>0</v>
      </c>
      <c r="EI40" s="14">
        <f t="shared" si="79"/>
        <v>0</v>
      </c>
      <c r="EJ40" s="14">
        <f t="shared" si="79"/>
        <v>0</v>
      </c>
      <c r="EK40" s="14">
        <f>EJ41+117.4</f>
        <v>117.4</v>
      </c>
      <c r="EL40" s="14">
        <f t="shared" si="79"/>
        <v>117.4</v>
      </c>
      <c r="EM40" s="14">
        <f t="shared" si="79"/>
        <v>117.4</v>
      </c>
      <c r="EN40" s="14">
        <f t="shared" si="79"/>
        <v>117.4</v>
      </c>
      <c r="EO40" s="14">
        <f t="shared" si="79"/>
        <v>117.4</v>
      </c>
      <c r="EP40" s="14">
        <f t="shared" si="79"/>
        <v>117.4</v>
      </c>
      <c r="EQ40" s="14">
        <f t="shared" si="79"/>
        <v>117.4</v>
      </c>
      <c r="ER40" s="14">
        <f>EQ41</f>
        <v>40</v>
      </c>
      <c r="ES40" s="14">
        <f>ER41</f>
        <v>40</v>
      </c>
      <c r="ET40" s="14">
        <f>ES41</f>
        <v>40</v>
      </c>
      <c r="EU40" s="14">
        <f t="shared" si="79"/>
        <v>0</v>
      </c>
      <c r="EV40" s="14">
        <f t="shared" si="79"/>
        <v>0</v>
      </c>
      <c r="EW40" s="14">
        <f t="shared" si="79"/>
        <v>0</v>
      </c>
      <c r="EX40" s="14">
        <f t="shared" si="79"/>
        <v>0</v>
      </c>
      <c r="EY40" s="14">
        <f t="shared" si="79"/>
        <v>0</v>
      </c>
      <c r="EZ40" s="14">
        <f t="shared" si="79"/>
        <v>0</v>
      </c>
      <c r="FA40" s="14">
        <f t="shared" si="79"/>
        <v>0</v>
      </c>
      <c r="FB40" s="14">
        <f>FA41+135.1</f>
        <v>135.1</v>
      </c>
      <c r="FC40" s="14">
        <f t="shared" si="79"/>
        <v>135.1</v>
      </c>
      <c r="FD40" s="14">
        <f t="shared" si="79"/>
        <v>135.1</v>
      </c>
      <c r="FE40" s="14">
        <f t="shared" si="79"/>
        <v>100</v>
      </c>
      <c r="FF40" s="14">
        <f t="shared" si="79"/>
        <v>100</v>
      </c>
      <c r="FG40" s="14">
        <f t="shared" si="79"/>
        <v>100</v>
      </c>
      <c r="FH40" s="14">
        <f t="shared" si="79"/>
        <v>65</v>
      </c>
      <c r="FI40" s="14">
        <f t="shared" si="79"/>
        <v>30</v>
      </c>
      <c r="FJ40" s="14">
        <f t="shared" si="79"/>
        <v>0</v>
      </c>
      <c r="FK40" s="14">
        <f t="shared" si="79"/>
        <v>0</v>
      </c>
      <c r="FL40" s="14">
        <f t="shared" si="79"/>
        <v>0</v>
      </c>
      <c r="FM40" s="14">
        <f t="shared" si="79"/>
        <v>0</v>
      </c>
      <c r="FN40" s="14">
        <f t="shared" si="79"/>
        <v>0</v>
      </c>
      <c r="FO40" s="14">
        <f t="shared" si="79"/>
        <v>0</v>
      </c>
      <c r="FP40" s="14">
        <f t="shared" si="79"/>
        <v>0</v>
      </c>
      <c r="FQ40" s="14">
        <f t="shared" si="79"/>
        <v>0</v>
      </c>
      <c r="FR40" s="14">
        <f t="shared" si="79"/>
        <v>0</v>
      </c>
      <c r="FS40" s="14">
        <f>FR41+135</f>
        <v>135</v>
      </c>
      <c r="FT40" s="14">
        <f t="shared" si="79"/>
        <v>135</v>
      </c>
      <c r="FU40" s="14">
        <f t="shared" si="79"/>
        <v>135</v>
      </c>
      <c r="FV40" s="14">
        <f t="shared" si="79"/>
        <v>135</v>
      </c>
      <c r="FW40" s="14">
        <f t="shared" si="79"/>
        <v>135</v>
      </c>
      <c r="FX40" s="14">
        <f t="shared" si="79"/>
        <v>135</v>
      </c>
      <c r="FY40" s="14">
        <f t="shared" si="79"/>
        <v>90</v>
      </c>
      <c r="FZ40" s="14">
        <f t="shared" si="79"/>
        <v>45</v>
      </c>
      <c r="GA40" s="14">
        <f t="shared" si="79"/>
        <v>0</v>
      </c>
      <c r="GB40" s="14">
        <f t="shared" si="79"/>
        <v>0</v>
      </c>
      <c r="GC40" s="14">
        <f t="shared" si="79"/>
        <v>0</v>
      </c>
      <c r="GD40" s="14">
        <f t="shared" si="79"/>
        <v>0</v>
      </c>
      <c r="GE40" s="14">
        <f t="shared" si="79"/>
        <v>0</v>
      </c>
      <c r="GF40" s="14">
        <f t="shared" si="79"/>
        <v>0</v>
      </c>
      <c r="GG40" s="14">
        <f t="shared" si="79"/>
        <v>0</v>
      </c>
      <c r="GH40" s="14">
        <f t="shared" si="79"/>
        <v>0</v>
      </c>
      <c r="GI40" s="14">
        <f t="shared" si="79"/>
        <v>0</v>
      </c>
      <c r="GJ40" s="14">
        <f t="shared" si="79"/>
        <v>0</v>
      </c>
      <c r="GK40" s="14">
        <f t="shared" si="79"/>
        <v>0</v>
      </c>
      <c r="GL40" s="14">
        <f t="shared" si="79"/>
        <v>0</v>
      </c>
      <c r="GM40" s="14">
        <f t="shared" si="79"/>
        <v>0</v>
      </c>
      <c r="GN40" s="14">
        <f t="shared" si="79"/>
        <v>0</v>
      </c>
      <c r="GO40" s="14">
        <f t="shared" si="79"/>
        <v>0</v>
      </c>
    </row>
    <row r="41" spans="1:197" ht="15">
      <c r="A41" s="28"/>
      <c r="B41" s="28"/>
      <c r="C41" s="24" t="s">
        <v>218</v>
      </c>
      <c r="D41" s="16">
        <f>D40-D39</f>
        <v>67.2</v>
      </c>
      <c r="E41" s="16">
        <f>E40-E39</f>
        <v>67.2</v>
      </c>
      <c r="F41" s="16">
        <f aca="true" t="shared" si="80" ref="F41:BQ41">F40-F39</f>
        <v>37.2</v>
      </c>
      <c r="G41" s="16">
        <f t="shared" si="80"/>
        <v>0</v>
      </c>
      <c r="H41" s="16">
        <f t="shared" si="80"/>
        <v>0</v>
      </c>
      <c r="I41" s="16">
        <f t="shared" si="80"/>
        <v>260.70000000000005</v>
      </c>
      <c r="J41" s="16">
        <f t="shared" si="80"/>
        <v>260.70000000000005</v>
      </c>
      <c r="K41" s="16">
        <f t="shared" si="80"/>
        <v>260.70000000000005</v>
      </c>
      <c r="L41" s="16">
        <f t="shared" si="80"/>
        <v>260.70000000000005</v>
      </c>
      <c r="M41" s="16">
        <f t="shared" si="80"/>
        <v>260.70000000000005</v>
      </c>
      <c r="N41" s="16">
        <f t="shared" si="80"/>
        <v>260.70000000000005</v>
      </c>
      <c r="O41" s="17">
        <f t="shared" si="80"/>
        <v>40.700000000000045</v>
      </c>
      <c r="P41" s="16">
        <f t="shared" si="80"/>
        <v>0</v>
      </c>
      <c r="Q41" s="16">
        <f t="shared" si="80"/>
        <v>0</v>
      </c>
      <c r="R41" s="16">
        <f t="shared" si="80"/>
        <v>0</v>
      </c>
      <c r="S41" s="16">
        <f t="shared" si="80"/>
        <v>0</v>
      </c>
      <c r="T41" s="16">
        <f t="shared" si="80"/>
        <v>0</v>
      </c>
      <c r="U41" s="16">
        <f t="shared" si="80"/>
        <v>0</v>
      </c>
      <c r="V41" s="16">
        <f t="shared" si="80"/>
        <v>0</v>
      </c>
      <c r="W41" s="16">
        <f t="shared" si="80"/>
        <v>0</v>
      </c>
      <c r="X41" s="17">
        <f t="shared" si="80"/>
        <v>0</v>
      </c>
      <c r="Y41" s="16">
        <f t="shared" si="80"/>
        <v>0</v>
      </c>
      <c r="Z41" s="16">
        <f t="shared" si="80"/>
        <v>0</v>
      </c>
      <c r="AA41" s="17">
        <f t="shared" si="80"/>
        <v>0</v>
      </c>
      <c r="AB41" s="16">
        <f t="shared" si="80"/>
        <v>0</v>
      </c>
      <c r="AC41" s="16">
        <f t="shared" si="80"/>
        <v>0</v>
      </c>
      <c r="AD41" s="17">
        <f t="shared" si="80"/>
        <v>0</v>
      </c>
      <c r="AE41" s="17">
        <f t="shared" si="80"/>
        <v>0</v>
      </c>
      <c r="AF41" s="16">
        <f t="shared" si="80"/>
        <v>0</v>
      </c>
      <c r="AG41" s="16">
        <f t="shared" si="80"/>
        <v>0</v>
      </c>
      <c r="AH41" s="16">
        <f t="shared" si="80"/>
        <v>0</v>
      </c>
      <c r="AI41" s="16">
        <f t="shared" si="80"/>
        <v>0</v>
      </c>
      <c r="AJ41" s="16">
        <f t="shared" si="80"/>
        <v>0</v>
      </c>
      <c r="AK41" s="16">
        <f t="shared" si="80"/>
        <v>341.5</v>
      </c>
      <c r="AL41" s="16">
        <f t="shared" si="80"/>
        <v>341.5</v>
      </c>
      <c r="AM41" s="16">
        <f t="shared" si="80"/>
        <v>341.5</v>
      </c>
      <c r="AN41" s="16">
        <f t="shared" si="80"/>
        <v>341.5</v>
      </c>
      <c r="AO41" s="16">
        <f t="shared" si="80"/>
        <v>341.5</v>
      </c>
      <c r="AP41" s="16">
        <f t="shared" si="80"/>
        <v>91.5</v>
      </c>
      <c r="AQ41" s="16">
        <f t="shared" si="80"/>
        <v>91.5</v>
      </c>
      <c r="AR41" s="16">
        <f t="shared" si="80"/>
        <v>61.5</v>
      </c>
      <c r="AS41" s="16">
        <f t="shared" si="80"/>
        <v>31.5</v>
      </c>
      <c r="AT41" s="16">
        <f t="shared" si="80"/>
        <v>0</v>
      </c>
      <c r="AU41" s="16">
        <f t="shared" si="80"/>
        <v>0</v>
      </c>
      <c r="AV41" s="16">
        <f t="shared" si="80"/>
        <v>0</v>
      </c>
      <c r="AW41" s="16">
        <f t="shared" si="80"/>
        <v>0</v>
      </c>
      <c r="AX41" s="16">
        <f t="shared" si="80"/>
        <v>0</v>
      </c>
      <c r="AY41" s="16">
        <f t="shared" si="80"/>
        <v>0</v>
      </c>
      <c r="AZ41" s="16">
        <f t="shared" si="80"/>
        <v>0</v>
      </c>
      <c r="BA41" s="16">
        <f t="shared" si="80"/>
        <v>0</v>
      </c>
      <c r="BB41" s="16">
        <f t="shared" si="80"/>
        <v>0</v>
      </c>
      <c r="BC41" s="16">
        <f t="shared" si="80"/>
        <v>221.39999999999998</v>
      </c>
      <c r="BD41" s="16">
        <f t="shared" si="80"/>
        <v>171.39999999999998</v>
      </c>
      <c r="BE41" s="16">
        <f t="shared" si="80"/>
        <v>121.39999999999998</v>
      </c>
      <c r="BF41" s="16">
        <f t="shared" si="80"/>
        <v>71.39999999999998</v>
      </c>
      <c r="BG41" s="16">
        <f t="shared" si="80"/>
        <v>71.39999999999998</v>
      </c>
      <c r="BH41" s="16">
        <f t="shared" si="80"/>
        <v>71.39999999999998</v>
      </c>
      <c r="BI41" s="16">
        <f t="shared" si="80"/>
        <v>71.39999999999998</v>
      </c>
      <c r="BJ41" s="16">
        <f t="shared" si="80"/>
        <v>71.39999999999998</v>
      </c>
      <c r="BK41" s="16">
        <f t="shared" si="80"/>
        <v>71.39999999999998</v>
      </c>
      <c r="BL41" s="16">
        <f t="shared" si="80"/>
        <v>71.39999999999998</v>
      </c>
      <c r="BM41" s="16">
        <f t="shared" si="80"/>
        <v>71.39999999999998</v>
      </c>
      <c r="BN41" s="16">
        <f t="shared" si="80"/>
        <v>71.39999999999998</v>
      </c>
      <c r="BO41" s="16">
        <f t="shared" si="80"/>
        <v>71.39999999999998</v>
      </c>
      <c r="BP41" s="16">
        <f t="shared" si="80"/>
        <v>0</v>
      </c>
      <c r="BQ41" s="16">
        <f t="shared" si="80"/>
        <v>0</v>
      </c>
      <c r="BR41" s="16">
        <f aca="true" t="shared" si="81" ref="BR41:EC41">BR40-BR39</f>
        <v>0</v>
      </c>
      <c r="BS41" s="16">
        <f t="shared" si="81"/>
        <v>0</v>
      </c>
      <c r="BT41" s="27">
        <f t="shared" si="81"/>
        <v>0</v>
      </c>
      <c r="BU41" s="27">
        <f t="shared" si="81"/>
        <v>215.4</v>
      </c>
      <c r="BV41" s="27">
        <f t="shared" si="81"/>
        <v>215.4</v>
      </c>
      <c r="BW41" s="16">
        <f t="shared" si="81"/>
        <v>215.4</v>
      </c>
      <c r="BX41" s="16">
        <f t="shared" si="81"/>
        <v>185.4</v>
      </c>
      <c r="BY41" s="16">
        <f t="shared" si="81"/>
        <v>185.4</v>
      </c>
      <c r="BZ41" s="16">
        <f t="shared" si="81"/>
        <v>145.4</v>
      </c>
      <c r="CA41" s="16">
        <f t="shared" si="81"/>
        <v>105.4</v>
      </c>
      <c r="CB41" s="16">
        <f t="shared" si="81"/>
        <v>65.4</v>
      </c>
      <c r="CC41" s="16">
        <f t="shared" si="81"/>
        <v>25.400000000000006</v>
      </c>
      <c r="CD41" s="16">
        <f t="shared" si="81"/>
        <v>0</v>
      </c>
      <c r="CE41" s="16">
        <f t="shared" si="81"/>
        <v>0</v>
      </c>
      <c r="CF41" s="16">
        <f t="shared" si="81"/>
        <v>0</v>
      </c>
      <c r="CG41" s="16">
        <f t="shared" si="81"/>
        <v>0</v>
      </c>
      <c r="CH41" s="16">
        <f t="shared" si="81"/>
        <v>0</v>
      </c>
      <c r="CI41" s="16">
        <f t="shared" si="81"/>
        <v>0</v>
      </c>
      <c r="CJ41" s="16">
        <f t="shared" si="81"/>
        <v>0</v>
      </c>
      <c r="CK41" s="16">
        <f t="shared" si="81"/>
        <v>0</v>
      </c>
      <c r="CL41" s="16">
        <f t="shared" si="81"/>
        <v>0</v>
      </c>
      <c r="CM41" s="16">
        <f t="shared" si="81"/>
        <v>0</v>
      </c>
      <c r="CN41" s="16">
        <f t="shared" si="81"/>
        <v>0</v>
      </c>
      <c r="CO41" s="16">
        <f t="shared" si="81"/>
        <v>194.9</v>
      </c>
      <c r="CP41" s="16">
        <f t="shared" si="81"/>
        <v>194.9</v>
      </c>
      <c r="CQ41" s="16">
        <f t="shared" si="81"/>
        <v>194.9</v>
      </c>
      <c r="CR41" s="16">
        <f t="shared" si="81"/>
        <v>144.9</v>
      </c>
      <c r="CS41" s="16">
        <f t="shared" si="81"/>
        <v>94.9</v>
      </c>
      <c r="CT41" s="16">
        <f t="shared" si="81"/>
        <v>64.9</v>
      </c>
      <c r="CU41" s="16">
        <f t="shared" si="81"/>
        <v>34.900000000000006</v>
      </c>
      <c r="CV41" s="16">
        <f t="shared" si="81"/>
        <v>0</v>
      </c>
      <c r="CW41" s="16">
        <f t="shared" si="81"/>
        <v>0</v>
      </c>
      <c r="CX41" s="16">
        <f t="shared" si="81"/>
        <v>0</v>
      </c>
      <c r="CY41" s="16">
        <f t="shared" si="81"/>
        <v>0</v>
      </c>
      <c r="CZ41" s="16">
        <f t="shared" si="81"/>
        <v>0</v>
      </c>
      <c r="DA41" s="16">
        <f t="shared" si="81"/>
        <v>0</v>
      </c>
      <c r="DB41" s="16">
        <f t="shared" si="81"/>
        <v>0</v>
      </c>
      <c r="DC41" s="16">
        <f t="shared" si="81"/>
        <v>0</v>
      </c>
      <c r="DD41" s="16">
        <f t="shared" si="81"/>
        <v>0</v>
      </c>
      <c r="DE41" s="16">
        <f t="shared" si="81"/>
        <v>55.6</v>
      </c>
      <c r="DF41" s="16">
        <f t="shared" si="81"/>
        <v>55.6</v>
      </c>
      <c r="DG41" s="16">
        <f t="shared" si="81"/>
        <v>55.6</v>
      </c>
      <c r="DH41" s="16">
        <f t="shared" si="81"/>
        <v>55.6</v>
      </c>
      <c r="DI41" s="16">
        <f t="shared" si="81"/>
        <v>55.6</v>
      </c>
      <c r="DJ41" s="16">
        <f t="shared" si="81"/>
        <v>55.6</v>
      </c>
      <c r="DK41" s="16">
        <f t="shared" si="81"/>
        <v>55.6</v>
      </c>
      <c r="DL41" s="16">
        <f t="shared" si="81"/>
        <v>55.6</v>
      </c>
      <c r="DM41" s="16">
        <f t="shared" si="81"/>
        <v>55.6</v>
      </c>
      <c r="DN41" s="16">
        <f t="shared" si="81"/>
        <v>55.6</v>
      </c>
      <c r="DO41" s="16">
        <f t="shared" si="81"/>
        <v>55.6</v>
      </c>
      <c r="DP41" s="17">
        <f t="shared" si="81"/>
        <v>0</v>
      </c>
      <c r="DQ41" s="17">
        <f t="shared" si="81"/>
        <v>0</v>
      </c>
      <c r="DR41" s="17">
        <f t="shared" si="81"/>
        <v>0</v>
      </c>
      <c r="DS41" s="17">
        <f t="shared" si="81"/>
        <v>172.6</v>
      </c>
      <c r="DT41" s="17">
        <f t="shared" si="81"/>
        <v>172.6</v>
      </c>
      <c r="DU41" s="16">
        <f t="shared" si="81"/>
        <v>172.6</v>
      </c>
      <c r="DV41" s="16">
        <f t="shared" si="81"/>
        <v>142.6</v>
      </c>
      <c r="DW41" s="16">
        <f t="shared" si="81"/>
        <v>102.6</v>
      </c>
      <c r="DX41" s="16">
        <f t="shared" si="81"/>
        <v>62.599999999999994</v>
      </c>
      <c r="DY41" s="16">
        <f t="shared" si="81"/>
        <v>62.599999999999994</v>
      </c>
      <c r="DZ41" s="16">
        <f t="shared" si="81"/>
        <v>62.599999999999994</v>
      </c>
      <c r="EA41" s="16">
        <f t="shared" si="81"/>
        <v>62.599999999999994</v>
      </c>
      <c r="EB41" s="16">
        <f t="shared" si="81"/>
        <v>62.599999999999994</v>
      </c>
      <c r="EC41" s="16">
        <f t="shared" si="81"/>
        <v>42.599999999999994</v>
      </c>
      <c r="ED41" s="16">
        <f aca="true" t="shared" si="82" ref="ED41:GO41">ED40-ED39</f>
        <v>22.599999999999994</v>
      </c>
      <c r="EE41" s="16">
        <f t="shared" si="82"/>
        <v>0</v>
      </c>
      <c r="EF41" s="16">
        <f t="shared" si="82"/>
        <v>0</v>
      </c>
      <c r="EG41" s="16">
        <f t="shared" si="82"/>
        <v>0</v>
      </c>
      <c r="EH41" s="16">
        <f t="shared" si="82"/>
        <v>0</v>
      </c>
      <c r="EI41" s="16">
        <f t="shared" si="82"/>
        <v>0</v>
      </c>
      <c r="EJ41" s="16">
        <f t="shared" si="82"/>
        <v>0</v>
      </c>
      <c r="EK41" s="16">
        <f t="shared" si="82"/>
        <v>117.4</v>
      </c>
      <c r="EL41" s="16">
        <f t="shared" si="82"/>
        <v>117.4</v>
      </c>
      <c r="EM41" s="16">
        <f t="shared" si="82"/>
        <v>117.4</v>
      </c>
      <c r="EN41" s="16">
        <f t="shared" si="82"/>
        <v>117.4</v>
      </c>
      <c r="EO41" s="16">
        <f t="shared" si="82"/>
        <v>117.4</v>
      </c>
      <c r="EP41" s="16">
        <f t="shared" si="82"/>
        <v>117.4</v>
      </c>
      <c r="EQ41" s="16">
        <f t="shared" si="82"/>
        <v>40</v>
      </c>
      <c r="ER41" s="16">
        <f t="shared" si="82"/>
        <v>40</v>
      </c>
      <c r="ES41" s="16">
        <f t="shared" si="82"/>
        <v>40</v>
      </c>
      <c r="ET41" s="16">
        <f t="shared" si="82"/>
        <v>0</v>
      </c>
      <c r="EU41" s="16">
        <f t="shared" si="82"/>
        <v>0</v>
      </c>
      <c r="EV41" s="16">
        <f t="shared" si="82"/>
        <v>0</v>
      </c>
      <c r="EW41" s="16">
        <f t="shared" si="82"/>
        <v>0</v>
      </c>
      <c r="EX41" s="16">
        <f t="shared" si="82"/>
        <v>0</v>
      </c>
      <c r="EY41" s="16">
        <f t="shared" si="82"/>
        <v>0</v>
      </c>
      <c r="EZ41" s="16">
        <f t="shared" si="82"/>
        <v>0</v>
      </c>
      <c r="FA41" s="16">
        <f t="shared" si="82"/>
        <v>0</v>
      </c>
      <c r="FB41" s="16">
        <f t="shared" si="82"/>
        <v>135.1</v>
      </c>
      <c r="FC41" s="16">
        <f t="shared" si="82"/>
        <v>135.1</v>
      </c>
      <c r="FD41" s="16">
        <f t="shared" si="82"/>
        <v>100</v>
      </c>
      <c r="FE41" s="16">
        <f t="shared" si="82"/>
        <v>100</v>
      </c>
      <c r="FF41" s="16">
        <f t="shared" si="82"/>
        <v>100</v>
      </c>
      <c r="FG41" s="16">
        <f t="shared" si="82"/>
        <v>65</v>
      </c>
      <c r="FH41" s="16">
        <f t="shared" si="82"/>
        <v>30</v>
      </c>
      <c r="FI41" s="16">
        <f t="shared" si="82"/>
        <v>0</v>
      </c>
      <c r="FJ41" s="16">
        <f t="shared" si="82"/>
        <v>0</v>
      </c>
      <c r="FK41" s="16">
        <f t="shared" si="82"/>
        <v>0</v>
      </c>
      <c r="FL41" s="16">
        <f t="shared" si="82"/>
        <v>0</v>
      </c>
      <c r="FM41" s="16">
        <f t="shared" si="82"/>
        <v>0</v>
      </c>
      <c r="FN41" s="16">
        <f t="shared" si="82"/>
        <v>0</v>
      </c>
      <c r="FO41" s="16">
        <f t="shared" si="82"/>
        <v>0</v>
      </c>
      <c r="FP41" s="16">
        <f t="shared" si="82"/>
        <v>0</v>
      </c>
      <c r="FQ41" s="16">
        <f t="shared" si="82"/>
        <v>0</v>
      </c>
      <c r="FR41" s="16">
        <f t="shared" si="82"/>
        <v>0</v>
      </c>
      <c r="FS41" s="16">
        <f t="shared" si="82"/>
        <v>135</v>
      </c>
      <c r="FT41" s="16">
        <f t="shared" si="82"/>
        <v>135</v>
      </c>
      <c r="FU41" s="16">
        <f t="shared" si="82"/>
        <v>135</v>
      </c>
      <c r="FV41" s="16">
        <f t="shared" si="82"/>
        <v>135</v>
      </c>
      <c r="FW41" s="16">
        <f t="shared" si="82"/>
        <v>135</v>
      </c>
      <c r="FX41" s="16">
        <f t="shared" si="82"/>
        <v>90</v>
      </c>
      <c r="FY41" s="16">
        <f t="shared" si="82"/>
        <v>45</v>
      </c>
      <c r="FZ41" s="16">
        <f t="shared" si="82"/>
        <v>0</v>
      </c>
      <c r="GA41" s="16">
        <f t="shared" si="82"/>
        <v>0</v>
      </c>
      <c r="GB41" s="16">
        <f t="shared" si="82"/>
        <v>0</v>
      </c>
      <c r="GC41" s="16">
        <f t="shared" si="82"/>
        <v>0</v>
      </c>
      <c r="GD41" s="16">
        <f t="shared" si="82"/>
        <v>0</v>
      </c>
      <c r="GE41" s="16">
        <f t="shared" si="82"/>
        <v>0</v>
      </c>
      <c r="GF41" s="16">
        <f t="shared" si="82"/>
        <v>0</v>
      </c>
      <c r="GG41" s="16">
        <f t="shared" si="82"/>
        <v>0</v>
      </c>
      <c r="GH41" s="16">
        <f t="shared" si="82"/>
        <v>0</v>
      </c>
      <c r="GI41" s="16">
        <f t="shared" si="82"/>
        <v>0</v>
      </c>
      <c r="GJ41" s="16">
        <f t="shared" si="82"/>
        <v>0</v>
      </c>
      <c r="GK41" s="16">
        <f t="shared" si="82"/>
        <v>0</v>
      </c>
      <c r="GL41" s="16">
        <f t="shared" si="82"/>
        <v>0</v>
      </c>
      <c r="GM41" s="16">
        <f t="shared" si="82"/>
        <v>0</v>
      </c>
      <c r="GN41" s="16">
        <f t="shared" si="82"/>
        <v>0</v>
      </c>
      <c r="GO41" s="16">
        <f t="shared" si="82"/>
        <v>0</v>
      </c>
    </row>
    <row r="42" spans="1:256" s="9" customFormat="1" ht="15">
      <c r="A42" s="4" t="s">
        <v>231</v>
      </c>
      <c r="B42" s="4" t="s">
        <v>232</v>
      </c>
      <c r="C42" s="12" t="s">
        <v>216</v>
      </c>
      <c r="F42" s="19">
        <v>40</v>
      </c>
      <c r="H42" s="19">
        <v>25</v>
      </c>
      <c r="O42" s="19">
        <v>250</v>
      </c>
      <c r="R42" s="19">
        <v>40</v>
      </c>
      <c r="S42" s="19">
        <v>30</v>
      </c>
      <c r="T42" s="19">
        <v>30</v>
      </c>
      <c r="X42" s="19">
        <v>76.1</v>
      </c>
      <c r="AA42" s="29"/>
      <c r="AB42" s="19">
        <v>30</v>
      </c>
      <c r="AD42" s="19">
        <v>50.6</v>
      </c>
      <c r="AE42" s="19">
        <v>30</v>
      </c>
      <c r="AF42" s="19">
        <v>30</v>
      </c>
      <c r="AG42" s="19">
        <v>30</v>
      </c>
      <c r="AP42" s="19">
        <v>252.9</v>
      </c>
      <c r="AS42" s="19">
        <v>40</v>
      </c>
      <c r="AT42" s="19">
        <v>40</v>
      </c>
      <c r="AV42" s="30">
        <v>30</v>
      </c>
      <c r="AW42" s="30">
        <v>30</v>
      </c>
      <c r="AX42" s="30">
        <v>40</v>
      </c>
      <c r="AY42" s="30">
        <v>40</v>
      </c>
      <c r="AZ42" s="30">
        <v>30</v>
      </c>
      <c r="BC42" s="30">
        <v>30</v>
      </c>
      <c r="BD42" s="30">
        <v>30</v>
      </c>
      <c r="BE42" s="30">
        <v>35</v>
      </c>
      <c r="BF42" s="30">
        <v>35</v>
      </c>
      <c r="BP42" s="19">
        <v>150</v>
      </c>
      <c r="BT42" s="31"/>
      <c r="BU42" s="31"/>
      <c r="BV42" s="31"/>
      <c r="BW42" s="30">
        <v>80</v>
      </c>
      <c r="BX42" s="30">
        <v>30</v>
      </c>
      <c r="BZ42" s="30">
        <v>50</v>
      </c>
      <c r="CA42" s="30">
        <v>30</v>
      </c>
      <c r="CB42" s="30">
        <v>30</v>
      </c>
      <c r="CC42" s="30">
        <v>30</v>
      </c>
      <c r="CD42" s="19">
        <v>30</v>
      </c>
      <c r="CF42" s="30">
        <v>25</v>
      </c>
      <c r="CH42" s="30">
        <v>30</v>
      </c>
      <c r="CJ42" s="19">
        <v>22.9</v>
      </c>
      <c r="CP42" s="19">
        <v>85</v>
      </c>
      <c r="CR42" s="30">
        <v>30</v>
      </c>
      <c r="CS42" s="30">
        <v>20</v>
      </c>
      <c r="CU42" s="30">
        <v>20</v>
      </c>
      <c r="CW42" s="19">
        <v>50</v>
      </c>
      <c r="CZ42" s="30">
        <v>110</v>
      </c>
      <c r="DA42" s="30">
        <v>50</v>
      </c>
      <c r="DD42" s="30">
        <v>40</v>
      </c>
      <c r="DE42" s="30">
        <v>60</v>
      </c>
      <c r="DF42" s="30">
        <v>50</v>
      </c>
      <c r="DG42" s="30">
        <v>60</v>
      </c>
      <c r="DH42" s="30">
        <v>60</v>
      </c>
      <c r="DP42" s="29"/>
      <c r="DQ42" s="19">
        <v>180</v>
      </c>
      <c r="DR42" s="30">
        <v>30</v>
      </c>
      <c r="DS42" s="29"/>
      <c r="DT42" s="30">
        <v>40</v>
      </c>
      <c r="DV42" s="30">
        <v>20</v>
      </c>
      <c r="DW42" s="30">
        <v>30</v>
      </c>
      <c r="DX42" s="30">
        <v>30</v>
      </c>
      <c r="DY42" s="30">
        <v>25</v>
      </c>
      <c r="EC42" s="30">
        <v>20</v>
      </c>
      <c r="ED42" s="30">
        <v>40</v>
      </c>
      <c r="EE42" s="30">
        <v>10</v>
      </c>
      <c r="EP42" s="19">
        <v>182.6</v>
      </c>
      <c r="ER42" s="19">
        <v>40</v>
      </c>
      <c r="EV42" s="30">
        <v>25</v>
      </c>
      <c r="EW42" s="33">
        <v>30</v>
      </c>
      <c r="EX42" s="30">
        <v>30</v>
      </c>
      <c r="EZ42" s="19">
        <v>30</v>
      </c>
      <c r="FA42" s="30">
        <v>30</v>
      </c>
      <c r="FB42" s="30">
        <v>30</v>
      </c>
      <c r="FC42" s="19">
        <v>50</v>
      </c>
      <c r="FG42" s="99">
        <v>30</v>
      </c>
      <c r="FH42" s="99">
        <v>29.9</v>
      </c>
      <c r="FI42" s="99">
        <v>30</v>
      </c>
      <c r="FR42" s="9">
        <v>54</v>
      </c>
      <c r="FS42" s="9">
        <v>30</v>
      </c>
      <c r="FT42" s="9">
        <v>30</v>
      </c>
      <c r="FU42" s="9">
        <v>30</v>
      </c>
      <c r="FV42" s="9">
        <v>30</v>
      </c>
      <c r="FX42" s="9">
        <v>30</v>
      </c>
      <c r="FY42" s="9">
        <v>30</v>
      </c>
      <c r="FZ42" s="9">
        <v>30</v>
      </c>
      <c r="GA42" s="9">
        <v>32</v>
      </c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197" s="42" customFormat="1" ht="15">
      <c r="A43" s="28"/>
      <c r="B43" s="28"/>
      <c r="C43" s="24" t="s">
        <v>217</v>
      </c>
      <c r="D43" s="25">
        <v>239.6</v>
      </c>
      <c r="E43" s="25">
        <f>D44</f>
        <v>239.6</v>
      </c>
      <c r="F43" s="25">
        <f aca="true" t="shared" si="83" ref="F43:BQ43">E44</f>
        <v>239.6</v>
      </c>
      <c r="G43" s="25">
        <f t="shared" si="83"/>
        <v>199.6</v>
      </c>
      <c r="H43" s="25">
        <f t="shared" si="83"/>
        <v>199.6</v>
      </c>
      <c r="I43" s="25">
        <f t="shared" si="83"/>
        <v>174.6</v>
      </c>
      <c r="J43" s="25">
        <f>I44+100.9+44.2+41.5+10.1</f>
        <v>371.3</v>
      </c>
      <c r="K43" s="25">
        <f t="shared" si="83"/>
        <v>371.3</v>
      </c>
      <c r="L43" s="25">
        <f t="shared" si="83"/>
        <v>371.3</v>
      </c>
      <c r="M43" s="25">
        <f t="shared" si="83"/>
        <v>371.3</v>
      </c>
      <c r="N43" s="25">
        <f t="shared" si="83"/>
        <v>371.3</v>
      </c>
      <c r="O43" s="37">
        <f t="shared" si="83"/>
        <v>371.3</v>
      </c>
      <c r="P43" s="25">
        <f>O44+7.2+39.2+41.3</f>
        <v>209</v>
      </c>
      <c r="Q43" s="25">
        <f t="shared" si="83"/>
        <v>209</v>
      </c>
      <c r="R43" s="25">
        <f t="shared" si="83"/>
        <v>209</v>
      </c>
      <c r="S43" s="25">
        <f t="shared" si="83"/>
        <v>169</v>
      </c>
      <c r="T43" s="25">
        <f t="shared" si="83"/>
        <v>139</v>
      </c>
      <c r="U43" s="25">
        <f t="shared" si="83"/>
        <v>109</v>
      </c>
      <c r="V43" s="25">
        <f>U44+20.9+48.1+26.8+12.3</f>
        <v>217.10000000000002</v>
      </c>
      <c r="W43" s="25">
        <f t="shared" si="83"/>
        <v>217.10000000000002</v>
      </c>
      <c r="X43" s="37">
        <f t="shared" si="83"/>
        <v>217.10000000000002</v>
      </c>
      <c r="Y43" s="25">
        <f t="shared" si="83"/>
        <v>141.00000000000003</v>
      </c>
      <c r="Z43" s="25">
        <f t="shared" si="83"/>
        <v>141.00000000000003</v>
      </c>
      <c r="AA43" s="37">
        <f t="shared" si="83"/>
        <v>141.00000000000003</v>
      </c>
      <c r="AB43" s="25">
        <f>AA44+15+2.3+82+25.9+17.9+37.5</f>
        <v>321.6</v>
      </c>
      <c r="AC43" s="25">
        <f t="shared" si="83"/>
        <v>291.6</v>
      </c>
      <c r="AD43" s="37">
        <f t="shared" si="83"/>
        <v>291.6</v>
      </c>
      <c r="AE43" s="37">
        <f t="shared" si="83"/>
        <v>241.00000000000003</v>
      </c>
      <c r="AF43" s="25">
        <f t="shared" si="83"/>
        <v>211.00000000000003</v>
      </c>
      <c r="AG43" s="25">
        <f t="shared" si="83"/>
        <v>181.00000000000003</v>
      </c>
      <c r="AH43" s="25">
        <f t="shared" si="83"/>
        <v>151.00000000000003</v>
      </c>
      <c r="AI43" s="25">
        <f t="shared" si="83"/>
        <v>151.00000000000003</v>
      </c>
      <c r="AJ43" s="25">
        <f t="shared" si="83"/>
        <v>151.00000000000003</v>
      </c>
      <c r="AK43" s="25">
        <f t="shared" si="83"/>
        <v>151.00000000000003</v>
      </c>
      <c r="AL43" s="25">
        <f t="shared" si="83"/>
        <v>151.00000000000003</v>
      </c>
      <c r="AM43" s="25">
        <f t="shared" si="83"/>
        <v>151.00000000000003</v>
      </c>
      <c r="AN43" s="25">
        <f>AM44+34.2+35.9+52.3+14.4+73.6+54+5.7</f>
        <v>421.09999999999997</v>
      </c>
      <c r="AO43" s="25">
        <f t="shared" si="83"/>
        <v>421.09999999999997</v>
      </c>
      <c r="AP43" s="25">
        <f t="shared" si="83"/>
        <v>421.09999999999997</v>
      </c>
      <c r="AQ43" s="25">
        <f t="shared" si="83"/>
        <v>168.19999999999996</v>
      </c>
      <c r="AR43" s="25">
        <f t="shared" si="83"/>
        <v>168.19999999999996</v>
      </c>
      <c r="AS43" s="25">
        <f t="shared" si="83"/>
        <v>168.19999999999996</v>
      </c>
      <c r="AT43" s="25">
        <f>AS44+57.5+34.6+15.2+30.5</f>
        <v>265.99999999999994</v>
      </c>
      <c r="AU43" s="25">
        <f t="shared" si="83"/>
        <v>225.99999999999994</v>
      </c>
      <c r="AV43" s="25">
        <f t="shared" si="83"/>
        <v>225.99999999999994</v>
      </c>
      <c r="AW43" s="25">
        <f t="shared" si="83"/>
        <v>195.99999999999994</v>
      </c>
      <c r="AX43" s="25">
        <f t="shared" si="83"/>
        <v>165.99999999999994</v>
      </c>
      <c r="AY43" s="25">
        <f t="shared" si="83"/>
        <v>125.99999999999994</v>
      </c>
      <c r="AZ43" s="25">
        <f>AY44+25.8+50.2+26.4+27.5+21.1</f>
        <v>236.99999999999994</v>
      </c>
      <c r="BA43" s="25">
        <f t="shared" si="83"/>
        <v>206.99999999999994</v>
      </c>
      <c r="BB43" s="25">
        <f t="shared" si="83"/>
        <v>206.99999999999994</v>
      </c>
      <c r="BC43" s="25">
        <f t="shared" si="83"/>
        <v>206.99999999999994</v>
      </c>
      <c r="BD43" s="25">
        <f t="shared" si="83"/>
        <v>176.99999999999994</v>
      </c>
      <c r="BE43" s="25">
        <f t="shared" si="83"/>
        <v>146.99999999999994</v>
      </c>
      <c r="BF43" s="25">
        <f>BE44+24.3+17.7+25.1</f>
        <v>179.09999999999994</v>
      </c>
      <c r="BG43" s="25">
        <f t="shared" si="83"/>
        <v>144.09999999999994</v>
      </c>
      <c r="BH43" s="25">
        <f t="shared" si="83"/>
        <v>144.09999999999994</v>
      </c>
      <c r="BI43" s="25">
        <f t="shared" si="83"/>
        <v>144.09999999999994</v>
      </c>
      <c r="BJ43" s="25">
        <f t="shared" si="83"/>
        <v>144.09999999999994</v>
      </c>
      <c r="BK43" s="25">
        <f t="shared" si="83"/>
        <v>144.09999999999994</v>
      </c>
      <c r="BL43" s="25">
        <f>BK44+71.9+21.9</f>
        <v>237.89999999999995</v>
      </c>
      <c r="BM43" s="25">
        <f t="shared" si="83"/>
        <v>237.89999999999995</v>
      </c>
      <c r="BN43" s="25">
        <f t="shared" si="83"/>
        <v>237.89999999999995</v>
      </c>
      <c r="BO43" s="25">
        <f t="shared" si="83"/>
        <v>237.89999999999995</v>
      </c>
      <c r="BP43" s="25">
        <f t="shared" si="83"/>
        <v>237.89999999999995</v>
      </c>
      <c r="BQ43" s="25">
        <f t="shared" si="83"/>
        <v>87.89999999999995</v>
      </c>
      <c r="BR43" s="25">
        <f>BQ44+94.7+40.1+15.7</f>
        <v>238.39999999999995</v>
      </c>
      <c r="BS43" s="25">
        <f aca="true" t="shared" si="84" ref="BS43:EC43">BR44</f>
        <v>238.39999999999995</v>
      </c>
      <c r="BT43" s="40">
        <f t="shared" si="84"/>
        <v>238.39999999999995</v>
      </c>
      <c r="BU43" s="40">
        <f t="shared" si="84"/>
        <v>238.39999999999995</v>
      </c>
      <c r="BV43" s="40">
        <f t="shared" si="84"/>
        <v>238.39999999999995</v>
      </c>
      <c r="BW43" s="25">
        <f t="shared" si="84"/>
        <v>238.39999999999995</v>
      </c>
      <c r="BX43" s="25">
        <f>BW44+45.6+8.5+68.1+28.9</f>
        <v>309.4999999999999</v>
      </c>
      <c r="BY43" s="25">
        <f t="shared" si="84"/>
        <v>279.4999999999999</v>
      </c>
      <c r="BZ43" s="25">
        <f t="shared" si="84"/>
        <v>279.4999999999999</v>
      </c>
      <c r="CA43" s="25">
        <f t="shared" si="84"/>
        <v>229.4999999999999</v>
      </c>
      <c r="CB43" s="25">
        <f t="shared" si="84"/>
        <v>199.4999999999999</v>
      </c>
      <c r="CC43" s="25">
        <f t="shared" si="84"/>
        <v>169.4999999999999</v>
      </c>
      <c r="CD43" s="25">
        <f t="shared" si="84"/>
        <v>139.4999999999999</v>
      </c>
      <c r="CE43" s="25">
        <f t="shared" si="84"/>
        <v>109.49999999999989</v>
      </c>
      <c r="CF43" s="25">
        <f t="shared" si="84"/>
        <v>109.49999999999989</v>
      </c>
      <c r="CG43" s="25">
        <f t="shared" si="84"/>
        <v>84.49999999999989</v>
      </c>
      <c r="CH43" s="25">
        <f t="shared" si="84"/>
        <v>84.49999999999989</v>
      </c>
      <c r="CI43" s="25">
        <f t="shared" si="84"/>
        <v>54.499999999999886</v>
      </c>
      <c r="CJ43" s="25">
        <f>CI44+30.2+35+13.1</f>
        <v>132.7999999999999</v>
      </c>
      <c r="CK43" s="25">
        <f t="shared" si="84"/>
        <v>109.89999999999989</v>
      </c>
      <c r="CL43" s="25">
        <f t="shared" si="84"/>
        <v>109.89999999999989</v>
      </c>
      <c r="CM43" s="25">
        <f t="shared" si="84"/>
        <v>109.89999999999989</v>
      </c>
      <c r="CN43" s="25">
        <f t="shared" si="84"/>
        <v>109.89999999999989</v>
      </c>
      <c r="CO43" s="25">
        <f t="shared" si="84"/>
        <v>109.89999999999989</v>
      </c>
      <c r="CP43" s="25">
        <f>CO44+7.1+2.7+6.9+49+447.7</f>
        <v>623.3</v>
      </c>
      <c r="CQ43" s="25">
        <f t="shared" si="84"/>
        <v>538.3</v>
      </c>
      <c r="CR43" s="25">
        <f t="shared" si="84"/>
        <v>538.3</v>
      </c>
      <c r="CS43" s="25">
        <f t="shared" si="84"/>
        <v>508.29999999999995</v>
      </c>
      <c r="CT43" s="25">
        <f t="shared" si="84"/>
        <v>488.29999999999995</v>
      </c>
      <c r="CU43" s="25">
        <f t="shared" si="84"/>
        <v>488.29999999999995</v>
      </c>
      <c r="CV43" s="25">
        <f>CU44+31+31.5+34</f>
        <v>564.8</v>
      </c>
      <c r="CW43" s="25">
        <f t="shared" si="84"/>
        <v>564.8</v>
      </c>
      <c r="CX43" s="25">
        <f t="shared" si="84"/>
        <v>514.8</v>
      </c>
      <c r="CY43" s="25">
        <f t="shared" si="84"/>
        <v>514.8</v>
      </c>
      <c r="CZ43" s="25">
        <f t="shared" si="84"/>
        <v>514.8</v>
      </c>
      <c r="DA43" s="25">
        <f t="shared" si="84"/>
        <v>404.79999999999995</v>
      </c>
      <c r="DB43" s="25">
        <f>DA44+21.6+0.9</f>
        <v>377.29999999999995</v>
      </c>
      <c r="DC43" s="25">
        <f t="shared" si="84"/>
        <v>377.29999999999995</v>
      </c>
      <c r="DD43" s="25">
        <f t="shared" si="84"/>
        <v>377.29999999999995</v>
      </c>
      <c r="DE43" s="25">
        <f t="shared" si="84"/>
        <v>337.29999999999995</v>
      </c>
      <c r="DF43" s="25">
        <f t="shared" si="84"/>
        <v>277.29999999999995</v>
      </c>
      <c r="DG43" s="25">
        <f t="shared" si="84"/>
        <v>227.29999999999995</v>
      </c>
      <c r="DH43" s="25">
        <f>DG44+44.5+25+79.6+16</f>
        <v>332.4</v>
      </c>
      <c r="DI43" s="25">
        <f>DH44</f>
        <v>272.4</v>
      </c>
      <c r="DJ43" s="25">
        <f t="shared" si="84"/>
        <v>272.4</v>
      </c>
      <c r="DK43" s="25">
        <f t="shared" si="84"/>
        <v>272.4</v>
      </c>
      <c r="DL43" s="25">
        <f t="shared" si="84"/>
        <v>272.4</v>
      </c>
      <c r="DM43" s="25">
        <f t="shared" si="84"/>
        <v>272.4</v>
      </c>
      <c r="DN43" s="25">
        <f t="shared" si="84"/>
        <v>272.4</v>
      </c>
      <c r="DO43" s="25">
        <f t="shared" si="84"/>
        <v>272.4</v>
      </c>
      <c r="DP43" s="37">
        <f t="shared" si="84"/>
        <v>272.4</v>
      </c>
      <c r="DQ43" s="37">
        <f t="shared" si="84"/>
        <v>272.4</v>
      </c>
      <c r="DR43" s="37">
        <f t="shared" si="84"/>
        <v>92.39999999999998</v>
      </c>
      <c r="DS43" s="37">
        <f t="shared" si="84"/>
        <v>62.39999999999998</v>
      </c>
      <c r="DT43" s="37">
        <f>DS44+63.8+47.1+14.2</f>
        <v>187.49999999999997</v>
      </c>
      <c r="DU43" s="25">
        <f t="shared" si="84"/>
        <v>147.49999999999997</v>
      </c>
      <c r="DV43" s="25">
        <f t="shared" si="84"/>
        <v>147.49999999999997</v>
      </c>
      <c r="DW43" s="25">
        <f t="shared" si="84"/>
        <v>127.49999999999997</v>
      </c>
      <c r="DX43" s="25">
        <f t="shared" si="84"/>
        <v>97.49999999999997</v>
      </c>
      <c r="DY43" s="25">
        <f t="shared" si="84"/>
        <v>67.49999999999997</v>
      </c>
      <c r="DZ43" s="25">
        <f t="shared" si="84"/>
        <v>42.49999999999997</v>
      </c>
      <c r="EA43" s="25">
        <f t="shared" si="84"/>
        <v>42.49999999999997</v>
      </c>
      <c r="EB43" s="25">
        <f>EA44+42.8+27.3+7.8+132.2</f>
        <v>252.59999999999997</v>
      </c>
      <c r="EC43" s="25">
        <f t="shared" si="84"/>
        <v>252.59999999999997</v>
      </c>
      <c r="ED43" s="25">
        <f aca="true" t="shared" si="85" ref="ED43:GO43">EC44</f>
        <v>232.59999999999997</v>
      </c>
      <c r="EE43" s="25">
        <f t="shared" si="85"/>
        <v>192.59999999999997</v>
      </c>
      <c r="EF43" s="25">
        <f t="shared" si="85"/>
        <v>182.59999999999997</v>
      </c>
      <c r="EG43" s="25">
        <f t="shared" si="85"/>
        <v>182.59999999999997</v>
      </c>
      <c r="EH43" s="25">
        <f t="shared" si="85"/>
        <v>182.59999999999997</v>
      </c>
      <c r="EI43" s="25">
        <f t="shared" si="85"/>
        <v>182.59999999999997</v>
      </c>
      <c r="EJ43" s="25">
        <f t="shared" si="85"/>
        <v>182.59999999999997</v>
      </c>
      <c r="EK43" s="25">
        <f t="shared" si="85"/>
        <v>182.59999999999997</v>
      </c>
      <c r="EL43" s="25">
        <f>EK44+7.3+27.6+134.9</f>
        <v>352.4</v>
      </c>
      <c r="EM43" s="25">
        <f t="shared" si="85"/>
        <v>352.4</v>
      </c>
      <c r="EN43" s="25">
        <f t="shared" si="85"/>
        <v>352.4</v>
      </c>
      <c r="EO43" s="25">
        <f t="shared" si="85"/>
        <v>352.4</v>
      </c>
      <c r="EP43" s="25">
        <f t="shared" si="85"/>
        <v>352.4</v>
      </c>
      <c r="EQ43" s="25">
        <f t="shared" si="85"/>
        <v>169.79999999999998</v>
      </c>
      <c r="ER43" s="25">
        <f>EQ44+27.5+17.9+44.8+7.6</f>
        <v>267.6</v>
      </c>
      <c r="ES43" s="25">
        <f>ER44</f>
        <v>227.60000000000002</v>
      </c>
      <c r="ET43" s="25">
        <f>ES44</f>
        <v>227.60000000000002</v>
      </c>
      <c r="EU43" s="25">
        <f t="shared" si="85"/>
        <v>227.60000000000002</v>
      </c>
      <c r="EV43" s="25">
        <f t="shared" si="85"/>
        <v>227.60000000000002</v>
      </c>
      <c r="EW43" s="25">
        <f t="shared" si="85"/>
        <v>202.60000000000002</v>
      </c>
      <c r="EX43" s="25">
        <f>EW44+33.5+41.6</f>
        <v>247.70000000000002</v>
      </c>
      <c r="EY43" s="25">
        <f t="shared" si="85"/>
        <v>217.70000000000002</v>
      </c>
      <c r="EZ43" s="25">
        <f t="shared" si="85"/>
        <v>217.70000000000002</v>
      </c>
      <c r="FA43" s="25">
        <f t="shared" si="85"/>
        <v>187.70000000000002</v>
      </c>
      <c r="FB43" s="25">
        <f t="shared" si="85"/>
        <v>157.70000000000002</v>
      </c>
      <c r="FC43" s="25">
        <f t="shared" si="85"/>
        <v>127.70000000000002</v>
      </c>
      <c r="FD43" s="25">
        <f>FC44+3.9+12.4+8.1+40.1+2.4</f>
        <v>144.60000000000002</v>
      </c>
      <c r="FE43" s="25">
        <f t="shared" si="85"/>
        <v>144.60000000000002</v>
      </c>
      <c r="FF43" s="25">
        <f t="shared" si="85"/>
        <v>144.60000000000002</v>
      </c>
      <c r="FG43" s="25">
        <f t="shared" si="85"/>
        <v>144.60000000000002</v>
      </c>
      <c r="FH43" s="25">
        <f t="shared" si="85"/>
        <v>114.60000000000002</v>
      </c>
      <c r="FI43" s="25">
        <f t="shared" si="85"/>
        <v>84.70000000000002</v>
      </c>
      <c r="FJ43" s="25">
        <f t="shared" si="85"/>
        <v>54.70000000000002</v>
      </c>
      <c r="FK43" s="25">
        <f t="shared" si="85"/>
        <v>54.70000000000002</v>
      </c>
      <c r="FL43" s="25">
        <f t="shared" si="85"/>
        <v>54.70000000000002</v>
      </c>
      <c r="FM43" s="25">
        <f t="shared" si="85"/>
        <v>54.70000000000002</v>
      </c>
      <c r="FN43" s="25">
        <f t="shared" si="85"/>
        <v>54.70000000000002</v>
      </c>
      <c r="FO43" s="25">
        <f t="shared" si="85"/>
        <v>54.70000000000002</v>
      </c>
      <c r="FP43" s="25">
        <f>FO44+19.6+40.9+32.5+79.6+49+19.8</f>
        <v>296.1</v>
      </c>
      <c r="FQ43" s="25">
        <f t="shared" si="85"/>
        <v>296.1</v>
      </c>
      <c r="FR43" s="25">
        <f t="shared" si="85"/>
        <v>296.1</v>
      </c>
      <c r="FS43" s="25">
        <f t="shared" si="85"/>
        <v>242.10000000000002</v>
      </c>
      <c r="FT43" s="25">
        <f t="shared" si="85"/>
        <v>212.10000000000002</v>
      </c>
      <c r="FU43" s="25">
        <f t="shared" si="85"/>
        <v>182.10000000000002</v>
      </c>
      <c r="FV43" s="25">
        <f t="shared" si="85"/>
        <v>152.10000000000002</v>
      </c>
      <c r="FW43" s="25">
        <f t="shared" si="85"/>
        <v>122.10000000000002</v>
      </c>
      <c r="FX43" s="25">
        <f t="shared" si="85"/>
        <v>122.10000000000002</v>
      </c>
      <c r="FY43" s="25">
        <f t="shared" si="85"/>
        <v>92.10000000000002</v>
      </c>
      <c r="FZ43" s="25">
        <f t="shared" si="85"/>
        <v>62.10000000000002</v>
      </c>
      <c r="GA43" s="25">
        <f t="shared" si="85"/>
        <v>32.10000000000002</v>
      </c>
      <c r="GB43" s="25">
        <f t="shared" si="85"/>
        <v>0.10000000000002274</v>
      </c>
      <c r="GC43" s="25">
        <f t="shared" si="85"/>
        <v>0.10000000000002274</v>
      </c>
      <c r="GD43" s="25">
        <f t="shared" si="85"/>
        <v>0.10000000000002274</v>
      </c>
      <c r="GE43" s="25">
        <f t="shared" si="85"/>
        <v>0.10000000000002274</v>
      </c>
      <c r="GF43" s="25">
        <f t="shared" si="85"/>
        <v>0.10000000000002274</v>
      </c>
      <c r="GG43" s="25">
        <f t="shared" si="85"/>
        <v>0.10000000000002274</v>
      </c>
      <c r="GH43" s="25">
        <f t="shared" si="85"/>
        <v>0.10000000000002274</v>
      </c>
      <c r="GI43" s="25">
        <f t="shared" si="85"/>
        <v>0.10000000000002274</v>
      </c>
      <c r="GJ43" s="25">
        <f t="shared" si="85"/>
        <v>0.10000000000002274</v>
      </c>
      <c r="GK43" s="25">
        <f t="shared" si="85"/>
        <v>0.10000000000002274</v>
      </c>
      <c r="GL43" s="25">
        <f t="shared" si="85"/>
        <v>0.10000000000002274</v>
      </c>
      <c r="GM43" s="25">
        <f t="shared" si="85"/>
        <v>0.10000000000002274</v>
      </c>
      <c r="GN43" s="25">
        <f t="shared" si="85"/>
        <v>0.10000000000002274</v>
      </c>
      <c r="GO43" s="25">
        <f t="shared" si="85"/>
        <v>0.10000000000002274</v>
      </c>
    </row>
    <row r="44" spans="1:197" s="42" customFormat="1" ht="15">
      <c r="A44" s="28"/>
      <c r="B44" s="28"/>
      <c r="C44" s="24" t="s">
        <v>218</v>
      </c>
      <c r="D44" s="43">
        <f>D43-D42</f>
        <v>239.6</v>
      </c>
      <c r="E44" s="43">
        <f>E43-E42</f>
        <v>239.6</v>
      </c>
      <c r="F44" s="43">
        <f aca="true" t="shared" si="86" ref="F44:BQ44">F43-F42</f>
        <v>199.6</v>
      </c>
      <c r="G44" s="43">
        <f t="shared" si="86"/>
        <v>199.6</v>
      </c>
      <c r="H44" s="43">
        <f t="shared" si="86"/>
        <v>174.6</v>
      </c>
      <c r="I44" s="43">
        <f t="shared" si="86"/>
        <v>174.6</v>
      </c>
      <c r="J44" s="43">
        <f t="shared" si="86"/>
        <v>371.3</v>
      </c>
      <c r="K44" s="43">
        <f t="shared" si="86"/>
        <v>371.3</v>
      </c>
      <c r="L44" s="43">
        <f t="shared" si="86"/>
        <v>371.3</v>
      </c>
      <c r="M44" s="43">
        <f t="shared" si="86"/>
        <v>371.3</v>
      </c>
      <c r="N44" s="43">
        <f t="shared" si="86"/>
        <v>371.3</v>
      </c>
      <c r="O44" s="44">
        <f t="shared" si="86"/>
        <v>121.30000000000001</v>
      </c>
      <c r="P44" s="43">
        <f t="shared" si="86"/>
        <v>209</v>
      </c>
      <c r="Q44" s="43">
        <f t="shared" si="86"/>
        <v>209</v>
      </c>
      <c r="R44" s="43">
        <f t="shared" si="86"/>
        <v>169</v>
      </c>
      <c r="S44" s="43">
        <f t="shared" si="86"/>
        <v>139</v>
      </c>
      <c r="T44" s="43">
        <f t="shared" si="86"/>
        <v>109</v>
      </c>
      <c r="U44" s="43">
        <f t="shared" si="86"/>
        <v>109</v>
      </c>
      <c r="V44" s="43">
        <f t="shared" si="86"/>
        <v>217.10000000000002</v>
      </c>
      <c r="W44" s="43">
        <f t="shared" si="86"/>
        <v>217.10000000000002</v>
      </c>
      <c r="X44" s="44">
        <f t="shared" si="86"/>
        <v>141.00000000000003</v>
      </c>
      <c r="Y44" s="43">
        <f t="shared" si="86"/>
        <v>141.00000000000003</v>
      </c>
      <c r="Z44" s="43">
        <f t="shared" si="86"/>
        <v>141.00000000000003</v>
      </c>
      <c r="AA44" s="44">
        <f t="shared" si="86"/>
        <v>141.00000000000003</v>
      </c>
      <c r="AB44" s="43">
        <f t="shared" si="86"/>
        <v>291.6</v>
      </c>
      <c r="AC44" s="43">
        <f t="shared" si="86"/>
        <v>291.6</v>
      </c>
      <c r="AD44" s="44">
        <f t="shared" si="86"/>
        <v>241.00000000000003</v>
      </c>
      <c r="AE44" s="44">
        <f t="shared" si="86"/>
        <v>211.00000000000003</v>
      </c>
      <c r="AF44" s="43">
        <f t="shared" si="86"/>
        <v>181.00000000000003</v>
      </c>
      <c r="AG44" s="43">
        <f t="shared" si="86"/>
        <v>151.00000000000003</v>
      </c>
      <c r="AH44" s="43">
        <f t="shared" si="86"/>
        <v>151.00000000000003</v>
      </c>
      <c r="AI44" s="43">
        <f t="shared" si="86"/>
        <v>151.00000000000003</v>
      </c>
      <c r="AJ44" s="43">
        <f t="shared" si="86"/>
        <v>151.00000000000003</v>
      </c>
      <c r="AK44" s="43">
        <f t="shared" si="86"/>
        <v>151.00000000000003</v>
      </c>
      <c r="AL44" s="43">
        <f t="shared" si="86"/>
        <v>151.00000000000003</v>
      </c>
      <c r="AM44" s="43">
        <f t="shared" si="86"/>
        <v>151.00000000000003</v>
      </c>
      <c r="AN44" s="43">
        <f t="shared" si="86"/>
        <v>421.09999999999997</v>
      </c>
      <c r="AO44" s="43">
        <f t="shared" si="86"/>
        <v>421.09999999999997</v>
      </c>
      <c r="AP44" s="43">
        <f t="shared" si="86"/>
        <v>168.19999999999996</v>
      </c>
      <c r="AQ44" s="43">
        <f t="shared" si="86"/>
        <v>168.19999999999996</v>
      </c>
      <c r="AR44" s="43">
        <f t="shared" si="86"/>
        <v>168.19999999999996</v>
      </c>
      <c r="AS44" s="43">
        <f t="shared" si="86"/>
        <v>128.19999999999996</v>
      </c>
      <c r="AT44" s="43">
        <f t="shared" si="86"/>
        <v>225.99999999999994</v>
      </c>
      <c r="AU44" s="43">
        <f t="shared" si="86"/>
        <v>225.99999999999994</v>
      </c>
      <c r="AV44" s="43">
        <f t="shared" si="86"/>
        <v>195.99999999999994</v>
      </c>
      <c r="AW44" s="43">
        <f t="shared" si="86"/>
        <v>165.99999999999994</v>
      </c>
      <c r="AX44" s="43">
        <f t="shared" si="86"/>
        <v>125.99999999999994</v>
      </c>
      <c r="AY44" s="43">
        <f t="shared" si="86"/>
        <v>85.99999999999994</v>
      </c>
      <c r="AZ44" s="43">
        <f t="shared" si="86"/>
        <v>206.99999999999994</v>
      </c>
      <c r="BA44" s="43">
        <f t="shared" si="86"/>
        <v>206.99999999999994</v>
      </c>
      <c r="BB44" s="43">
        <f t="shared" si="86"/>
        <v>206.99999999999994</v>
      </c>
      <c r="BC44" s="43">
        <f t="shared" si="86"/>
        <v>176.99999999999994</v>
      </c>
      <c r="BD44" s="43">
        <f t="shared" si="86"/>
        <v>146.99999999999994</v>
      </c>
      <c r="BE44" s="43">
        <f t="shared" si="86"/>
        <v>111.99999999999994</v>
      </c>
      <c r="BF44" s="43">
        <f t="shared" si="86"/>
        <v>144.09999999999994</v>
      </c>
      <c r="BG44" s="43">
        <f t="shared" si="86"/>
        <v>144.09999999999994</v>
      </c>
      <c r="BH44" s="43">
        <f t="shared" si="86"/>
        <v>144.09999999999994</v>
      </c>
      <c r="BI44" s="43">
        <f t="shared" si="86"/>
        <v>144.09999999999994</v>
      </c>
      <c r="BJ44" s="43">
        <f t="shared" si="86"/>
        <v>144.09999999999994</v>
      </c>
      <c r="BK44" s="43">
        <f t="shared" si="86"/>
        <v>144.09999999999994</v>
      </c>
      <c r="BL44" s="43">
        <f t="shared" si="86"/>
        <v>237.89999999999995</v>
      </c>
      <c r="BM44" s="43">
        <f t="shared" si="86"/>
        <v>237.89999999999995</v>
      </c>
      <c r="BN44" s="43">
        <f t="shared" si="86"/>
        <v>237.89999999999995</v>
      </c>
      <c r="BO44" s="43">
        <f t="shared" si="86"/>
        <v>237.89999999999995</v>
      </c>
      <c r="BP44" s="43">
        <f t="shared" si="86"/>
        <v>87.89999999999995</v>
      </c>
      <c r="BQ44" s="43">
        <f t="shared" si="86"/>
        <v>87.89999999999995</v>
      </c>
      <c r="BR44" s="43">
        <f aca="true" t="shared" si="87" ref="BR44:EC44">BR43-BR42</f>
        <v>238.39999999999995</v>
      </c>
      <c r="BS44" s="43">
        <f t="shared" si="87"/>
        <v>238.39999999999995</v>
      </c>
      <c r="BT44" s="45">
        <f t="shared" si="87"/>
        <v>238.39999999999995</v>
      </c>
      <c r="BU44" s="45">
        <f t="shared" si="87"/>
        <v>238.39999999999995</v>
      </c>
      <c r="BV44" s="45">
        <f t="shared" si="87"/>
        <v>238.39999999999995</v>
      </c>
      <c r="BW44" s="43">
        <f t="shared" si="87"/>
        <v>158.39999999999995</v>
      </c>
      <c r="BX44" s="43">
        <f t="shared" si="87"/>
        <v>279.4999999999999</v>
      </c>
      <c r="BY44" s="43">
        <f t="shared" si="87"/>
        <v>279.4999999999999</v>
      </c>
      <c r="BZ44" s="43">
        <f t="shared" si="87"/>
        <v>229.4999999999999</v>
      </c>
      <c r="CA44" s="43">
        <f t="shared" si="87"/>
        <v>199.4999999999999</v>
      </c>
      <c r="CB44" s="43">
        <f t="shared" si="87"/>
        <v>169.4999999999999</v>
      </c>
      <c r="CC44" s="43">
        <f t="shared" si="87"/>
        <v>139.4999999999999</v>
      </c>
      <c r="CD44" s="43">
        <f t="shared" si="87"/>
        <v>109.49999999999989</v>
      </c>
      <c r="CE44" s="43">
        <f t="shared" si="87"/>
        <v>109.49999999999989</v>
      </c>
      <c r="CF44" s="43">
        <f t="shared" si="87"/>
        <v>84.49999999999989</v>
      </c>
      <c r="CG44" s="43">
        <f t="shared" si="87"/>
        <v>84.49999999999989</v>
      </c>
      <c r="CH44" s="43">
        <f t="shared" si="87"/>
        <v>54.499999999999886</v>
      </c>
      <c r="CI44" s="43">
        <f t="shared" si="87"/>
        <v>54.499999999999886</v>
      </c>
      <c r="CJ44" s="43">
        <f t="shared" si="87"/>
        <v>109.89999999999989</v>
      </c>
      <c r="CK44" s="43">
        <f t="shared" si="87"/>
        <v>109.89999999999989</v>
      </c>
      <c r="CL44" s="43">
        <f t="shared" si="87"/>
        <v>109.89999999999989</v>
      </c>
      <c r="CM44" s="43">
        <f t="shared" si="87"/>
        <v>109.89999999999989</v>
      </c>
      <c r="CN44" s="43">
        <f t="shared" si="87"/>
        <v>109.89999999999989</v>
      </c>
      <c r="CO44" s="43">
        <f t="shared" si="87"/>
        <v>109.89999999999989</v>
      </c>
      <c r="CP44" s="43">
        <f t="shared" si="87"/>
        <v>538.3</v>
      </c>
      <c r="CQ44" s="43">
        <f t="shared" si="87"/>
        <v>538.3</v>
      </c>
      <c r="CR44" s="43">
        <f t="shared" si="87"/>
        <v>508.29999999999995</v>
      </c>
      <c r="CS44" s="43">
        <f t="shared" si="87"/>
        <v>488.29999999999995</v>
      </c>
      <c r="CT44" s="43">
        <f t="shared" si="87"/>
        <v>488.29999999999995</v>
      </c>
      <c r="CU44" s="43">
        <f t="shared" si="87"/>
        <v>468.29999999999995</v>
      </c>
      <c r="CV44" s="43">
        <f t="shared" si="87"/>
        <v>564.8</v>
      </c>
      <c r="CW44" s="43">
        <f t="shared" si="87"/>
        <v>514.8</v>
      </c>
      <c r="CX44" s="43">
        <f t="shared" si="87"/>
        <v>514.8</v>
      </c>
      <c r="CY44" s="43">
        <f t="shared" si="87"/>
        <v>514.8</v>
      </c>
      <c r="CZ44" s="43">
        <f t="shared" si="87"/>
        <v>404.79999999999995</v>
      </c>
      <c r="DA44" s="43">
        <f t="shared" si="87"/>
        <v>354.79999999999995</v>
      </c>
      <c r="DB44" s="43">
        <f t="shared" si="87"/>
        <v>377.29999999999995</v>
      </c>
      <c r="DC44" s="43">
        <f t="shared" si="87"/>
        <v>377.29999999999995</v>
      </c>
      <c r="DD44" s="43">
        <f t="shared" si="87"/>
        <v>337.29999999999995</v>
      </c>
      <c r="DE44" s="43">
        <f t="shared" si="87"/>
        <v>277.29999999999995</v>
      </c>
      <c r="DF44" s="43">
        <f t="shared" si="87"/>
        <v>227.29999999999995</v>
      </c>
      <c r="DG44" s="43">
        <f t="shared" si="87"/>
        <v>167.29999999999995</v>
      </c>
      <c r="DH44" s="43">
        <f t="shared" si="87"/>
        <v>272.4</v>
      </c>
      <c r="DI44" s="43">
        <f>DI43-DI42</f>
        <v>272.4</v>
      </c>
      <c r="DJ44" s="43">
        <f t="shared" si="87"/>
        <v>272.4</v>
      </c>
      <c r="DK44" s="43">
        <f t="shared" si="87"/>
        <v>272.4</v>
      </c>
      <c r="DL44" s="43">
        <f t="shared" si="87"/>
        <v>272.4</v>
      </c>
      <c r="DM44" s="43">
        <f t="shared" si="87"/>
        <v>272.4</v>
      </c>
      <c r="DN44" s="43">
        <f t="shared" si="87"/>
        <v>272.4</v>
      </c>
      <c r="DO44" s="43">
        <f t="shared" si="87"/>
        <v>272.4</v>
      </c>
      <c r="DP44" s="44">
        <f t="shared" si="87"/>
        <v>272.4</v>
      </c>
      <c r="DQ44" s="44">
        <f t="shared" si="87"/>
        <v>92.39999999999998</v>
      </c>
      <c r="DR44" s="44">
        <f t="shared" si="87"/>
        <v>62.39999999999998</v>
      </c>
      <c r="DS44" s="44">
        <f t="shared" si="87"/>
        <v>62.39999999999998</v>
      </c>
      <c r="DT44" s="44">
        <f t="shared" si="87"/>
        <v>147.49999999999997</v>
      </c>
      <c r="DU44" s="43">
        <f t="shared" si="87"/>
        <v>147.49999999999997</v>
      </c>
      <c r="DV44" s="43">
        <f t="shared" si="87"/>
        <v>127.49999999999997</v>
      </c>
      <c r="DW44" s="43">
        <f t="shared" si="87"/>
        <v>97.49999999999997</v>
      </c>
      <c r="DX44" s="43">
        <f t="shared" si="87"/>
        <v>67.49999999999997</v>
      </c>
      <c r="DY44" s="43">
        <f t="shared" si="87"/>
        <v>42.49999999999997</v>
      </c>
      <c r="DZ44" s="43">
        <f t="shared" si="87"/>
        <v>42.49999999999997</v>
      </c>
      <c r="EA44" s="43">
        <f t="shared" si="87"/>
        <v>42.49999999999997</v>
      </c>
      <c r="EB44" s="43">
        <f t="shared" si="87"/>
        <v>252.59999999999997</v>
      </c>
      <c r="EC44" s="43">
        <f t="shared" si="87"/>
        <v>232.59999999999997</v>
      </c>
      <c r="ED44" s="43">
        <f aca="true" t="shared" si="88" ref="ED44:GO44">ED43-ED42</f>
        <v>192.59999999999997</v>
      </c>
      <c r="EE44" s="43">
        <f t="shared" si="88"/>
        <v>182.59999999999997</v>
      </c>
      <c r="EF44" s="43">
        <f t="shared" si="88"/>
        <v>182.59999999999997</v>
      </c>
      <c r="EG44" s="43">
        <f t="shared" si="88"/>
        <v>182.59999999999997</v>
      </c>
      <c r="EH44" s="43">
        <f t="shared" si="88"/>
        <v>182.59999999999997</v>
      </c>
      <c r="EI44" s="43">
        <f t="shared" si="88"/>
        <v>182.59999999999997</v>
      </c>
      <c r="EJ44" s="43">
        <f t="shared" si="88"/>
        <v>182.59999999999997</v>
      </c>
      <c r="EK44" s="43">
        <f t="shared" si="88"/>
        <v>182.59999999999997</v>
      </c>
      <c r="EL44" s="43">
        <f t="shared" si="88"/>
        <v>352.4</v>
      </c>
      <c r="EM44" s="43">
        <f t="shared" si="88"/>
        <v>352.4</v>
      </c>
      <c r="EN44" s="43">
        <f t="shared" si="88"/>
        <v>352.4</v>
      </c>
      <c r="EO44" s="43">
        <f t="shared" si="88"/>
        <v>352.4</v>
      </c>
      <c r="EP44" s="43">
        <f t="shared" si="88"/>
        <v>169.79999999999998</v>
      </c>
      <c r="EQ44" s="43">
        <f t="shared" si="88"/>
        <v>169.79999999999998</v>
      </c>
      <c r="ER44" s="43">
        <f t="shared" si="88"/>
        <v>227.60000000000002</v>
      </c>
      <c r="ES44" s="43">
        <f t="shared" si="88"/>
        <v>227.60000000000002</v>
      </c>
      <c r="ET44" s="43">
        <f t="shared" si="88"/>
        <v>227.60000000000002</v>
      </c>
      <c r="EU44" s="43">
        <f t="shared" si="88"/>
        <v>227.60000000000002</v>
      </c>
      <c r="EV44" s="43">
        <f t="shared" si="88"/>
        <v>202.60000000000002</v>
      </c>
      <c r="EW44" s="43">
        <f t="shared" si="88"/>
        <v>172.60000000000002</v>
      </c>
      <c r="EX44" s="43">
        <f t="shared" si="88"/>
        <v>217.70000000000002</v>
      </c>
      <c r="EY44" s="43">
        <f t="shared" si="88"/>
        <v>217.70000000000002</v>
      </c>
      <c r="EZ44" s="43">
        <f t="shared" si="88"/>
        <v>187.70000000000002</v>
      </c>
      <c r="FA44" s="43">
        <f t="shared" si="88"/>
        <v>157.70000000000002</v>
      </c>
      <c r="FB44" s="43">
        <f t="shared" si="88"/>
        <v>127.70000000000002</v>
      </c>
      <c r="FC44" s="43">
        <f t="shared" si="88"/>
        <v>77.70000000000002</v>
      </c>
      <c r="FD44" s="43">
        <f t="shared" si="88"/>
        <v>144.60000000000002</v>
      </c>
      <c r="FE44" s="43">
        <f t="shared" si="88"/>
        <v>144.60000000000002</v>
      </c>
      <c r="FF44" s="43">
        <f t="shared" si="88"/>
        <v>144.60000000000002</v>
      </c>
      <c r="FG44" s="43">
        <f t="shared" si="88"/>
        <v>114.60000000000002</v>
      </c>
      <c r="FH44" s="43">
        <f t="shared" si="88"/>
        <v>84.70000000000002</v>
      </c>
      <c r="FI44" s="43">
        <f t="shared" si="88"/>
        <v>54.70000000000002</v>
      </c>
      <c r="FJ44" s="43">
        <f t="shared" si="88"/>
        <v>54.70000000000002</v>
      </c>
      <c r="FK44" s="43">
        <f t="shared" si="88"/>
        <v>54.70000000000002</v>
      </c>
      <c r="FL44" s="43">
        <f t="shared" si="88"/>
        <v>54.70000000000002</v>
      </c>
      <c r="FM44" s="43">
        <f t="shared" si="88"/>
        <v>54.70000000000002</v>
      </c>
      <c r="FN44" s="43">
        <f t="shared" si="88"/>
        <v>54.70000000000002</v>
      </c>
      <c r="FO44" s="43">
        <f t="shared" si="88"/>
        <v>54.70000000000002</v>
      </c>
      <c r="FP44" s="43">
        <f t="shared" si="88"/>
        <v>296.1</v>
      </c>
      <c r="FQ44" s="43">
        <f t="shared" si="88"/>
        <v>296.1</v>
      </c>
      <c r="FR44" s="43">
        <f t="shared" si="88"/>
        <v>242.10000000000002</v>
      </c>
      <c r="FS44" s="43">
        <f t="shared" si="88"/>
        <v>212.10000000000002</v>
      </c>
      <c r="FT44" s="43">
        <f t="shared" si="88"/>
        <v>182.10000000000002</v>
      </c>
      <c r="FU44" s="43">
        <f t="shared" si="88"/>
        <v>152.10000000000002</v>
      </c>
      <c r="FV44" s="43">
        <f t="shared" si="88"/>
        <v>122.10000000000002</v>
      </c>
      <c r="FW44" s="43">
        <f t="shared" si="88"/>
        <v>122.10000000000002</v>
      </c>
      <c r="FX44" s="43">
        <f t="shared" si="88"/>
        <v>92.10000000000002</v>
      </c>
      <c r="FY44" s="43">
        <f t="shared" si="88"/>
        <v>62.10000000000002</v>
      </c>
      <c r="FZ44" s="43">
        <f t="shared" si="88"/>
        <v>32.10000000000002</v>
      </c>
      <c r="GA44" s="43">
        <f t="shared" si="88"/>
        <v>0.10000000000002274</v>
      </c>
      <c r="GB44" s="43">
        <f t="shared" si="88"/>
        <v>0.10000000000002274</v>
      </c>
      <c r="GC44" s="43">
        <f t="shared" si="88"/>
        <v>0.10000000000002274</v>
      </c>
      <c r="GD44" s="43">
        <f t="shared" si="88"/>
        <v>0.10000000000002274</v>
      </c>
      <c r="GE44" s="43">
        <f t="shared" si="88"/>
        <v>0.10000000000002274</v>
      </c>
      <c r="GF44" s="43">
        <f t="shared" si="88"/>
        <v>0.10000000000002274</v>
      </c>
      <c r="GG44" s="43">
        <f t="shared" si="88"/>
        <v>0.10000000000002274</v>
      </c>
      <c r="GH44" s="43">
        <f t="shared" si="88"/>
        <v>0.10000000000002274</v>
      </c>
      <c r="GI44" s="43">
        <f t="shared" si="88"/>
        <v>0.10000000000002274</v>
      </c>
      <c r="GJ44" s="43">
        <f t="shared" si="88"/>
        <v>0.10000000000002274</v>
      </c>
      <c r="GK44" s="43">
        <f t="shared" si="88"/>
        <v>0.10000000000002274</v>
      </c>
      <c r="GL44" s="43">
        <f t="shared" si="88"/>
        <v>0.10000000000002274</v>
      </c>
      <c r="GM44" s="43">
        <f t="shared" si="88"/>
        <v>0.10000000000002274</v>
      </c>
      <c r="GN44" s="43">
        <f t="shared" si="88"/>
        <v>0.10000000000002274</v>
      </c>
      <c r="GO44" s="43">
        <f t="shared" si="88"/>
        <v>0.10000000000002274</v>
      </c>
    </row>
    <row r="45" spans="1:256" s="9" customFormat="1" ht="15">
      <c r="A45" s="4" t="s">
        <v>292</v>
      </c>
      <c r="B45" s="4">
        <v>7</v>
      </c>
      <c r="C45" s="12" t="s">
        <v>216</v>
      </c>
      <c r="N45" s="19">
        <v>6.3</v>
      </c>
      <c r="O45" s="29"/>
      <c r="X45" s="19">
        <v>7.5</v>
      </c>
      <c r="AA45" s="29"/>
      <c r="AD45" s="29"/>
      <c r="AE45" s="29"/>
      <c r="AP45" s="19">
        <v>3.3</v>
      </c>
      <c r="BQ45" s="19">
        <v>7.5</v>
      </c>
      <c r="BT45" s="31"/>
      <c r="BU45" s="31"/>
      <c r="BV45" s="31"/>
      <c r="BY45" s="19">
        <v>7</v>
      </c>
      <c r="CP45" s="19">
        <v>7.5</v>
      </c>
      <c r="DK45" s="19">
        <v>1.5</v>
      </c>
      <c r="DP45" s="29"/>
      <c r="DQ45" s="29"/>
      <c r="DR45" s="29"/>
      <c r="DS45" s="29"/>
      <c r="DT45" s="29"/>
      <c r="DV45" s="30">
        <v>4.2</v>
      </c>
      <c r="DW45" s="30">
        <v>4.2</v>
      </c>
      <c r="EB45" s="19">
        <v>3.3</v>
      </c>
      <c r="EE45" s="9">
        <v>2.1</v>
      </c>
      <c r="EI45" s="19">
        <v>2.7</v>
      </c>
      <c r="EK45" s="19">
        <f>1.7+1.4</f>
        <v>3.0999999999999996</v>
      </c>
      <c r="EN45" s="19">
        <v>1.7</v>
      </c>
      <c r="EQ45" s="19">
        <v>2.8</v>
      </c>
      <c r="ET45" s="30">
        <v>2.1</v>
      </c>
      <c r="EV45" s="99">
        <v>1.7</v>
      </c>
      <c r="EX45" s="99">
        <v>1.1</v>
      </c>
      <c r="EZ45" s="99">
        <v>1.5</v>
      </c>
      <c r="FB45" s="99">
        <v>1.2</v>
      </c>
      <c r="FD45" s="99">
        <v>1.4</v>
      </c>
      <c r="FF45" s="9">
        <v>2</v>
      </c>
      <c r="FH45" s="98">
        <v>2.1</v>
      </c>
      <c r="FK45" s="9">
        <v>2.1</v>
      </c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197" ht="15">
      <c r="A46" s="4" t="s">
        <v>233</v>
      </c>
      <c r="B46" s="51">
        <v>21</v>
      </c>
      <c r="C46" s="24" t="s">
        <v>217</v>
      </c>
      <c r="D46" s="14">
        <v>0</v>
      </c>
      <c r="E46" s="14">
        <f>D47+6.3</f>
        <v>6.3</v>
      </c>
      <c r="F46" s="14">
        <f aca="true" t="shared" si="89" ref="F46:BQ46">E47</f>
        <v>6.3</v>
      </c>
      <c r="G46" s="14">
        <f t="shared" si="89"/>
        <v>6.3</v>
      </c>
      <c r="H46" s="14">
        <f t="shared" si="89"/>
        <v>6.3</v>
      </c>
      <c r="I46" s="14">
        <f t="shared" si="89"/>
        <v>6.3</v>
      </c>
      <c r="J46" s="14">
        <f>I47+7.5</f>
        <v>13.8</v>
      </c>
      <c r="K46" s="14">
        <f t="shared" si="89"/>
        <v>13.8</v>
      </c>
      <c r="L46" s="14">
        <f t="shared" si="89"/>
        <v>13.8</v>
      </c>
      <c r="M46" s="14">
        <f t="shared" si="89"/>
        <v>13.8</v>
      </c>
      <c r="N46" s="14">
        <f t="shared" si="89"/>
        <v>13.8</v>
      </c>
      <c r="O46" s="15">
        <f t="shared" si="89"/>
        <v>7.500000000000001</v>
      </c>
      <c r="P46" s="14">
        <f t="shared" si="89"/>
        <v>7.500000000000001</v>
      </c>
      <c r="Q46" s="14">
        <f t="shared" si="89"/>
        <v>7.500000000000001</v>
      </c>
      <c r="R46" s="14">
        <f t="shared" si="89"/>
        <v>7.500000000000001</v>
      </c>
      <c r="S46" s="14">
        <f t="shared" si="89"/>
        <v>7.500000000000001</v>
      </c>
      <c r="T46" s="14">
        <f t="shared" si="89"/>
        <v>7.500000000000001</v>
      </c>
      <c r="U46" s="14">
        <f t="shared" si="89"/>
        <v>7.500000000000001</v>
      </c>
      <c r="V46" s="14">
        <f t="shared" si="89"/>
        <v>7.500000000000001</v>
      </c>
      <c r="W46" s="14">
        <f t="shared" si="89"/>
        <v>7.500000000000001</v>
      </c>
      <c r="X46" s="15">
        <f t="shared" si="89"/>
        <v>7.500000000000001</v>
      </c>
      <c r="Y46" s="14">
        <f t="shared" si="89"/>
        <v>0</v>
      </c>
      <c r="Z46" s="14">
        <f t="shared" si="89"/>
        <v>0</v>
      </c>
      <c r="AA46" s="15">
        <f t="shared" si="89"/>
        <v>0</v>
      </c>
      <c r="AB46" s="14">
        <f t="shared" si="89"/>
        <v>0</v>
      </c>
      <c r="AC46" s="14">
        <f t="shared" si="89"/>
        <v>0</v>
      </c>
      <c r="AD46" s="15">
        <f t="shared" si="89"/>
        <v>0</v>
      </c>
      <c r="AE46" s="15">
        <f t="shared" si="89"/>
        <v>0</v>
      </c>
      <c r="AF46" s="14">
        <f>AE47+3.3</f>
        <v>3.3</v>
      </c>
      <c r="AG46" s="14">
        <f t="shared" si="89"/>
        <v>3.3</v>
      </c>
      <c r="AH46" s="14">
        <f t="shared" si="89"/>
        <v>3.3</v>
      </c>
      <c r="AI46" s="14">
        <f t="shared" si="89"/>
        <v>3.3</v>
      </c>
      <c r="AJ46" s="14">
        <f t="shared" si="89"/>
        <v>3.3</v>
      </c>
      <c r="AK46" s="14">
        <f t="shared" si="89"/>
        <v>3.3</v>
      </c>
      <c r="AL46" s="14">
        <f t="shared" si="89"/>
        <v>3.3</v>
      </c>
      <c r="AM46" s="14">
        <f t="shared" si="89"/>
        <v>3.3</v>
      </c>
      <c r="AN46" s="14">
        <f t="shared" si="89"/>
        <v>3.3</v>
      </c>
      <c r="AO46" s="14">
        <f t="shared" si="89"/>
        <v>3.3</v>
      </c>
      <c r="AP46" s="14">
        <f t="shared" si="89"/>
        <v>3.3</v>
      </c>
      <c r="AQ46" s="14">
        <f t="shared" si="89"/>
        <v>0</v>
      </c>
      <c r="AR46" s="14">
        <f t="shared" si="89"/>
        <v>0</v>
      </c>
      <c r="AS46" s="14">
        <f t="shared" si="89"/>
        <v>0</v>
      </c>
      <c r="AT46" s="14">
        <f t="shared" si="89"/>
        <v>0</v>
      </c>
      <c r="AU46" s="14">
        <f t="shared" si="89"/>
        <v>0</v>
      </c>
      <c r="AV46" s="14">
        <f t="shared" si="89"/>
        <v>0</v>
      </c>
      <c r="AW46" s="14">
        <f t="shared" si="89"/>
        <v>0</v>
      </c>
      <c r="AX46" s="14">
        <f t="shared" si="89"/>
        <v>0</v>
      </c>
      <c r="AY46" s="14">
        <f t="shared" si="89"/>
        <v>0</v>
      </c>
      <c r="AZ46" s="14">
        <f t="shared" si="89"/>
        <v>0</v>
      </c>
      <c r="BA46" s="14">
        <f t="shared" si="89"/>
        <v>0</v>
      </c>
      <c r="BB46" s="14">
        <f t="shared" si="89"/>
        <v>0</v>
      </c>
      <c r="BC46" s="14">
        <f t="shared" si="89"/>
        <v>0</v>
      </c>
      <c r="BD46" s="14">
        <f t="shared" si="89"/>
        <v>0</v>
      </c>
      <c r="BE46" s="14">
        <f t="shared" si="89"/>
        <v>0</v>
      </c>
      <c r="BF46" s="14">
        <f t="shared" si="89"/>
        <v>0</v>
      </c>
      <c r="BG46" s="14">
        <f t="shared" si="89"/>
        <v>0</v>
      </c>
      <c r="BH46" s="14">
        <f t="shared" si="89"/>
        <v>0</v>
      </c>
      <c r="BI46" s="14">
        <f>BH47+7.5</f>
        <v>7.5</v>
      </c>
      <c r="BJ46" s="14">
        <f t="shared" si="89"/>
        <v>7.5</v>
      </c>
      <c r="BK46" s="14">
        <f t="shared" si="89"/>
        <v>7.5</v>
      </c>
      <c r="BL46" s="14">
        <f t="shared" si="89"/>
        <v>7.5</v>
      </c>
      <c r="BM46" s="14">
        <f t="shared" si="89"/>
        <v>7.5</v>
      </c>
      <c r="BN46" s="14">
        <f t="shared" si="89"/>
        <v>7.5</v>
      </c>
      <c r="BO46" s="14">
        <f t="shared" si="89"/>
        <v>7.5</v>
      </c>
      <c r="BP46" s="14">
        <f>BO47+7</f>
        <v>14.5</v>
      </c>
      <c r="BQ46" s="14">
        <f t="shared" si="89"/>
        <v>14.5</v>
      </c>
      <c r="BR46" s="14">
        <f aca="true" t="shared" si="90" ref="BR46:EC46">BQ47</f>
        <v>7</v>
      </c>
      <c r="BS46" s="14">
        <f t="shared" si="90"/>
        <v>7</v>
      </c>
      <c r="BT46" s="26">
        <f t="shared" si="90"/>
        <v>7</v>
      </c>
      <c r="BU46" s="26">
        <f t="shared" si="90"/>
        <v>7</v>
      </c>
      <c r="BV46" s="26">
        <f t="shared" si="90"/>
        <v>7</v>
      </c>
      <c r="BW46" s="14">
        <f t="shared" si="90"/>
        <v>7</v>
      </c>
      <c r="BX46" s="14">
        <f t="shared" si="90"/>
        <v>7</v>
      </c>
      <c r="BY46" s="14">
        <f t="shared" si="90"/>
        <v>7</v>
      </c>
      <c r="BZ46" s="14">
        <f t="shared" si="90"/>
        <v>0</v>
      </c>
      <c r="CA46" s="14">
        <f t="shared" si="90"/>
        <v>0</v>
      </c>
      <c r="CB46" s="14">
        <f t="shared" si="90"/>
        <v>0</v>
      </c>
      <c r="CC46" s="14">
        <f>CB47+7.5</f>
        <v>7.5</v>
      </c>
      <c r="CD46" s="14">
        <f t="shared" si="90"/>
        <v>7.5</v>
      </c>
      <c r="CE46" s="14">
        <f t="shared" si="90"/>
        <v>7.5</v>
      </c>
      <c r="CF46" s="14">
        <f t="shared" si="90"/>
        <v>7.5</v>
      </c>
      <c r="CG46" s="14">
        <f t="shared" si="90"/>
        <v>7.5</v>
      </c>
      <c r="CH46" s="14">
        <f t="shared" si="90"/>
        <v>7.5</v>
      </c>
      <c r="CI46" s="14">
        <f t="shared" si="90"/>
        <v>7.5</v>
      </c>
      <c r="CJ46" s="14">
        <f t="shared" si="90"/>
        <v>7.5</v>
      </c>
      <c r="CK46" s="14">
        <f t="shared" si="90"/>
        <v>7.5</v>
      </c>
      <c r="CL46" s="14">
        <f t="shared" si="90"/>
        <v>7.5</v>
      </c>
      <c r="CM46" s="14">
        <f t="shared" si="90"/>
        <v>7.5</v>
      </c>
      <c r="CN46" s="14">
        <f t="shared" si="90"/>
        <v>7.5</v>
      </c>
      <c r="CO46" s="14">
        <f t="shared" si="90"/>
        <v>7.5</v>
      </c>
      <c r="CP46" s="14">
        <f t="shared" si="90"/>
        <v>7.5</v>
      </c>
      <c r="CQ46" s="14">
        <f t="shared" si="90"/>
        <v>0</v>
      </c>
      <c r="CR46" s="14">
        <f t="shared" si="90"/>
        <v>0</v>
      </c>
      <c r="CS46" s="14">
        <f t="shared" si="90"/>
        <v>0</v>
      </c>
      <c r="CT46" s="14">
        <f t="shared" si="90"/>
        <v>0</v>
      </c>
      <c r="CU46" s="14">
        <f t="shared" si="90"/>
        <v>0</v>
      </c>
      <c r="CV46" s="14">
        <f t="shared" si="90"/>
        <v>0</v>
      </c>
      <c r="CW46" s="14">
        <f t="shared" si="90"/>
        <v>0</v>
      </c>
      <c r="CX46" s="14">
        <f t="shared" si="90"/>
        <v>0</v>
      </c>
      <c r="CY46" s="14">
        <f t="shared" si="90"/>
        <v>0</v>
      </c>
      <c r="CZ46" s="14">
        <f t="shared" si="90"/>
        <v>0</v>
      </c>
      <c r="DA46" s="14">
        <f t="shared" si="90"/>
        <v>0</v>
      </c>
      <c r="DB46" s="14">
        <f t="shared" si="90"/>
        <v>0</v>
      </c>
      <c r="DC46" s="14">
        <f t="shared" si="90"/>
        <v>0</v>
      </c>
      <c r="DD46" s="14">
        <f t="shared" si="90"/>
        <v>0</v>
      </c>
      <c r="DE46" s="14">
        <f t="shared" si="90"/>
        <v>0</v>
      </c>
      <c r="DF46" s="14">
        <f t="shared" si="90"/>
        <v>0</v>
      </c>
      <c r="DG46" s="14">
        <f t="shared" si="90"/>
        <v>0</v>
      </c>
      <c r="DH46" s="14">
        <f t="shared" si="90"/>
        <v>0</v>
      </c>
      <c r="DI46" s="14">
        <f t="shared" si="90"/>
        <v>0</v>
      </c>
      <c r="DJ46" s="14">
        <f t="shared" si="90"/>
        <v>0</v>
      </c>
      <c r="DK46" s="14">
        <f>DJ47+1.5</f>
        <v>1.5</v>
      </c>
      <c r="DL46" s="14">
        <f t="shared" si="90"/>
        <v>0</v>
      </c>
      <c r="DM46" s="14">
        <f t="shared" si="90"/>
        <v>0</v>
      </c>
      <c r="DN46" s="14">
        <f t="shared" si="90"/>
        <v>0</v>
      </c>
      <c r="DO46" s="14">
        <f t="shared" si="90"/>
        <v>0</v>
      </c>
      <c r="DP46" s="15">
        <f>DO47+2.1+2.1</f>
        <v>4.2</v>
      </c>
      <c r="DQ46" s="15">
        <f t="shared" si="90"/>
        <v>4.2</v>
      </c>
      <c r="DR46" s="15">
        <f t="shared" si="90"/>
        <v>4.2</v>
      </c>
      <c r="DS46" s="15">
        <f t="shared" si="90"/>
        <v>4.2</v>
      </c>
      <c r="DT46" s="15">
        <f t="shared" si="90"/>
        <v>4.2</v>
      </c>
      <c r="DU46" s="14">
        <f t="shared" si="90"/>
        <v>4.2</v>
      </c>
      <c r="DV46" s="14">
        <f>DU47+1.9+2.3</f>
        <v>8.399999999999999</v>
      </c>
      <c r="DW46" s="14">
        <f t="shared" si="90"/>
        <v>4.199999999999998</v>
      </c>
      <c r="DX46" s="14">
        <f t="shared" si="90"/>
        <v>0</v>
      </c>
      <c r="DY46" s="14">
        <f t="shared" si="90"/>
        <v>0</v>
      </c>
      <c r="DZ46" s="14">
        <f t="shared" si="90"/>
        <v>0</v>
      </c>
      <c r="EA46" s="14">
        <f t="shared" si="90"/>
        <v>0</v>
      </c>
      <c r="EB46" s="14">
        <f>EA47+1+2.3+2.1</f>
        <v>5.4</v>
      </c>
      <c r="EC46" s="14">
        <f t="shared" si="90"/>
        <v>2.1000000000000005</v>
      </c>
      <c r="ED46" s="14">
        <f aca="true" t="shared" si="91" ref="ED46:GO46">EC47</f>
        <v>2.1000000000000005</v>
      </c>
      <c r="EE46" s="14">
        <f t="shared" si="91"/>
        <v>2.1000000000000005</v>
      </c>
      <c r="EF46" s="14">
        <f t="shared" si="91"/>
        <v>0</v>
      </c>
      <c r="EG46" s="14">
        <f t="shared" si="91"/>
        <v>0</v>
      </c>
      <c r="EH46" s="14">
        <f>EG47+2.7</f>
        <v>2.7</v>
      </c>
      <c r="EI46" s="14">
        <f t="shared" si="91"/>
        <v>2.7</v>
      </c>
      <c r="EJ46" s="14">
        <f>EI47+1.4</f>
        <v>1.4</v>
      </c>
      <c r="EK46" s="52">
        <f>EJ47+1.7</f>
        <v>3.0999999999999996</v>
      </c>
      <c r="EL46" s="14">
        <f t="shared" si="91"/>
        <v>0</v>
      </c>
      <c r="EM46" s="14">
        <f t="shared" si="91"/>
        <v>0</v>
      </c>
      <c r="EN46" s="52">
        <f>EM47+1.7</f>
        <v>1.7</v>
      </c>
      <c r="EO46" s="14">
        <f t="shared" si="91"/>
        <v>0</v>
      </c>
      <c r="EP46" s="14">
        <f t="shared" si="91"/>
        <v>0</v>
      </c>
      <c r="EQ46" s="14">
        <f>EP47+1.7+1.1</f>
        <v>2.8</v>
      </c>
      <c r="ER46" s="14">
        <f>EQ47</f>
        <v>0</v>
      </c>
      <c r="ES46" s="14">
        <f>ER47</f>
        <v>0</v>
      </c>
      <c r="ET46" s="14">
        <f>ES47+2.1</f>
        <v>2.1</v>
      </c>
      <c r="EU46" s="14">
        <f t="shared" si="91"/>
        <v>0</v>
      </c>
      <c r="EV46" s="14">
        <f>EU47+1.7</f>
        <v>1.7</v>
      </c>
      <c r="EW46" s="14">
        <f>EV47</f>
        <v>0</v>
      </c>
      <c r="EX46" s="14">
        <f>EW47+1.1</f>
        <v>1.1</v>
      </c>
      <c r="EY46" s="14">
        <f t="shared" si="91"/>
        <v>0</v>
      </c>
      <c r="EZ46" s="14">
        <f>EY47+1.5</f>
        <v>1.5</v>
      </c>
      <c r="FA46" s="14">
        <f t="shared" si="91"/>
        <v>0</v>
      </c>
      <c r="FB46" s="14">
        <f>FA47+1.2</f>
        <v>1.2</v>
      </c>
      <c r="FC46" s="14">
        <f t="shared" si="91"/>
        <v>0</v>
      </c>
      <c r="FD46" s="14">
        <f>FC47+1.4</f>
        <v>1.4</v>
      </c>
      <c r="FE46" s="14">
        <f t="shared" si="91"/>
        <v>0</v>
      </c>
      <c r="FF46" s="14">
        <f>FE47+2</f>
        <v>2</v>
      </c>
      <c r="FG46" s="14">
        <f t="shared" si="91"/>
        <v>0</v>
      </c>
      <c r="FH46" s="97">
        <f>FG47+2.1</f>
        <v>2.1</v>
      </c>
      <c r="FI46" s="14">
        <f t="shared" si="91"/>
        <v>0</v>
      </c>
      <c r="FJ46" s="14">
        <f t="shared" si="91"/>
        <v>0</v>
      </c>
      <c r="FK46" s="14">
        <f>FJ47+2.1</f>
        <v>2.1</v>
      </c>
      <c r="FL46" s="14">
        <f t="shared" si="91"/>
        <v>0</v>
      </c>
      <c r="FM46" s="14">
        <f t="shared" si="91"/>
        <v>0</v>
      </c>
      <c r="FN46" s="14">
        <f t="shared" si="91"/>
        <v>0</v>
      </c>
      <c r="FO46" s="14">
        <f t="shared" si="91"/>
        <v>0</v>
      </c>
      <c r="FP46" s="14">
        <f t="shared" si="91"/>
        <v>0</v>
      </c>
      <c r="FQ46" s="14">
        <f t="shared" si="91"/>
        <v>0</v>
      </c>
      <c r="FR46" s="14">
        <f t="shared" si="91"/>
        <v>0</v>
      </c>
      <c r="FS46" s="14">
        <f t="shared" si="91"/>
        <v>0</v>
      </c>
      <c r="FT46" s="14">
        <f t="shared" si="91"/>
        <v>0</v>
      </c>
      <c r="FU46" s="14">
        <f t="shared" si="91"/>
        <v>0</v>
      </c>
      <c r="FV46" s="14">
        <f t="shared" si="91"/>
        <v>0</v>
      </c>
      <c r="FW46" s="14">
        <f t="shared" si="91"/>
        <v>0</v>
      </c>
      <c r="FX46" s="14">
        <f t="shared" si="91"/>
        <v>0</v>
      </c>
      <c r="FY46" s="14">
        <f t="shared" si="91"/>
        <v>0</v>
      </c>
      <c r="FZ46" s="14">
        <f t="shared" si="91"/>
        <v>0</v>
      </c>
      <c r="GA46" s="14">
        <f t="shared" si="91"/>
        <v>0</v>
      </c>
      <c r="GB46" s="14">
        <f t="shared" si="91"/>
        <v>0</v>
      </c>
      <c r="GC46" s="14">
        <f t="shared" si="91"/>
        <v>0</v>
      </c>
      <c r="GD46" s="14">
        <f t="shared" si="91"/>
        <v>0</v>
      </c>
      <c r="GE46" s="14">
        <f t="shared" si="91"/>
        <v>0</v>
      </c>
      <c r="GF46" s="14">
        <f t="shared" si="91"/>
        <v>0</v>
      </c>
      <c r="GG46" s="14">
        <f t="shared" si="91"/>
        <v>0</v>
      </c>
      <c r="GH46" s="14">
        <f t="shared" si="91"/>
        <v>0</v>
      </c>
      <c r="GI46" s="14">
        <f t="shared" si="91"/>
        <v>0</v>
      </c>
      <c r="GJ46" s="14">
        <f t="shared" si="91"/>
        <v>0</v>
      </c>
      <c r="GK46" s="14">
        <f t="shared" si="91"/>
        <v>0</v>
      </c>
      <c r="GL46" s="14">
        <f t="shared" si="91"/>
        <v>0</v>
      </c>
      <c r="GM46" s="14">
        <f t="shared" si="91"/>
        <v>0</v>
      </c>
      <c r="GN46" s="14">
        <f t="shared" si="91"/>
        <v>0</v>
      </c>
      <c r="GO46" s="14">
        <f t="shared" si="91"/>
        <v>0</v>
      </c>
    </row>
    <row r="47" spans="1:197" ht="15">
      <c r="A47" s="28"/>
      <c r="B47" s="28"/>
      <c r="C47" s="24" t="s">
        <v>218</v>
      </c>
      <c r="D47" s="16">
        <f>D46-D45</f>
        <v>0</v>
      </c>
      <c r="E47" s="16">
        <f>E46-E45</f>
        <v>6.3</v>
      </c>
      <c r="F47" s="16">
        <f aca="true" t="shared" si="92" ref="F47:BQ47">F46-F45</f>
        <v>6.3</v>
      </c>
      <c r="G47" s="16">
        <f t="shared" si="92"/>
        <v>6.3</v>
      </c>
      <c r="H47" s="16">
        <f t="shared" si="92"/>
        <v>6.3</v>
      </c>
      <c r="I47" s="16">
        <f t="shared" si="92"/>
        <v>6.3</v>
      </c>
      <c r="J47" s="16">
        <f t="shared" si="92"/>
        <v>13.8</v>
      </c>
      <c r="K47" s="16">
        <f t="shared" si="92"/>
        <v>13.8</v>
      </c>
      <c r="L47" s="16">
        <f t="shared" si="92"/>
        <v>13.8</v>
      </c>
      <c r="M47" s="16">
        <f t="shared" si="92"/>
        <v>13.8</v>
      </c>
      <c r="N47" s="16">
        <f t="shared" si="92"/>
        <v>7.500000000000001</v>
      </c>
      <c r="O47" s="17">
        <f t="shared" si="92"/>
        <v>7.500000000000001</v>
      </c>
      <c r="P47" s="16">
        <f t="shared" si="92"/>
        <v>7.500000000000001</v>
      </c>
      <c r="Q47" s="16">
        <f t="shared" si="92"/>
        <v>7.500000000000001</v>
      </c>
      <c r="R47" s="16">
        <f t="shared" si="92"/>
        <v>7.500000000000001</v>
      </c>
      <c r="S47" s="16">
        <f t="shared" si="92"/>
        <v>7.500000000000001</v>
      </c>
      <c r="T47" s="16">
        <f t="shared" si="92"/>
        <v>7.500000000000001</v>
      </c>
      <c r="U47" s="16">
        <f t="shared" si="92"/>
        <v>7.500000000000001</v>
      </c>
      <c r="V47" s="16">
        <f t="shared" si="92"/>
        <v>7.500000000000001</v>
      </c>
      <c r="W47" s="16">
        <f t="shared" si="92"/>
        <v>7.500000000000001</v>
      </c>
      <c r="X47" s="17">
        <f t="shared" si="92"/>
        <v>0</v>
      </c>
      <c r="Y47" s="16">
        <f t="shared" si="92"/>
        <v>0</v>
      </c>
      <c r="Z47" s="16">
        <f t="shared" si="92"/>
        <v>0</v>
      </c>
      <c r="AA47" s="17">
        <f t="shared" si="92"/>
        <v>0</v>
      </c>
      <c r="AB47" s="16">
        <f t="shared" si="92"/>
        <v>0</v>
      </c>
      <c r="AC47" s="16">
        <f t="shared" si="92"/>
        <v>0</v>
      </c>
      <c r="AD47" s="17">
        <f t="shared" si="92"/>
        <v>0</v>
      </c>
      <c r="AE47" s="17">
        <f t="shared" si="92"/>
        <v>0</v>
      </c>
      <c r="AF47" s="16">
        <f t="shared" si="92"/>
        <v>3.3</v>
      </c>
      <c r="AG47" s="16">
        <f t="shared" si="92"/>
        <v>3.3</v>
      </c>
      <c r="AH47" s="16">
        <f t="shared" si="92"/>
        <v>3.3</v>
      </c>
      <c r="AI47" s="16">
        <f t="shared" si="92"/>
        <v>3.3</v>
      </c>
      <c r="AJ47" s="16">
        <f t="shared" si="92"/>
        <v>3.3</v>
      </c>
      <c r="AK47" s="16">
        <f t="shared" si="92"/>
        <v>3.3</v>
      </c>
      <c r="AL47" s="16">
        <f t="shared" si="92"/>
        <v>3.3</v>
      </c>
      <c r="AM47" s="16">
        <f t="shared" si="92"/>
        <v>3.3</v>
      </c>
      <c r="AN47" s="16">
        <f t="shared" si="92"/>
        <v>3.3</v>
      </c>
      <c r="AO47" s="16">
        <f t="shared" si="92"/>
        <v>3.3</v>
      </c>
      <c r="AP47" s="16">
        <f t="shared" si="92"/>
        <v>0</v>
      </c>
      <c r="AQ47" s="16">
        <f t="shared" si="92"/>
        <v>0</v>
      </c>
      <c r="AR47" s="16">
        <f t="shared" si="92"/>
        <v>0</v>
      </c>
      <c r="AS47" s="16">
        <f t="shared" si="92"/>
        <v>0</v>
      </c>
      <c r="AT47" s="16">
        <f t="shared" si="92"/>
        <v>0</v>
      </c>
      <c r="AU47" s="16">
        <f t="shared" si="92"/>
        <v>0</v>
      </c>
      <c r="AV47" s="16">
        <f t="shared" si="92"/>
        <v>0</v>
      </c>
      <c r="AW47" s="16">
        <f t="shared" si="92"/>
        <v>0</v>
      </c>
      <c r="AX47" s="16">
        <f t="shared" si="92"/>
        <v>0</v>
      </c>
      <c r="AY47" s="16">
        <f t="shared" si="92"/>
        <v>0</v>
      </c>
      <c r="AZ47" s="16">
        <f t="shared" si="92"/>
        <v>0</v>
      </c>
      <c r="BA47" s="16">
        <f t="shared" si="92"/>
        <v>0</v>
      </c>
      <c r="BB47" s="16">
        <f t="shared" si="92"/>
        <v>0</v>
      </c>
      <c r="BC47" s="16">
        <f t="shared" si="92"/>
        <v>0</v>
      </c>
      <c r="BD47" s="16">
        <f t="shared" si="92"/>
        <v>0</v>
      </c>
      <c r="BE47" s="16">
        <f t="shared" si="92"/>
        <v>0</v>
      </c>
      <c r="BF47" s="16">
        <f t="shared" si="92"/>
        <v>0</v>
      </c>
      <c r="BG47" s="16">
        <f t="shared" si="92"/>
        <v>0</v>
      </c>
      <c r="BH47" s="16">
        <f t="shared" si="92"/>
        <v>0</v>
      </c>
      <c r="BI47" s="16">
        <f t="shared" si="92"/>
        <v>7.5</v>
      </c>
      <c r="BJ47" s="16">
        <f t="shared" si="92"/>
        <v>7.5</v>
      </c>
      <c r="BK47" s="16">
        <f t="shared" si="92"/>
        <v>7.5</v>
      </c>
      <c r="BL47" s="16">
        <f t="shared" si="92"/>
        <v>7.5</v>
      </c>
      <c r="BM47" s="16">
        <f t="shared" si="92"/>
        <v>7.5</v>
      </c>
      <c r="BN47" s="16">
        <f t="shared" si="92"/>
        <v>7.5</v>
      </c>
      <c r="BO47" s="16">
        <f t="shared" si="92"/>
        <v>7.5</v>
      </c>
      <c r="BP47" s="16">
        <f t="shared" si="92"/>
        <v>14.5</v>
      </c>
      <c r="BQ47" s="16">
        <f t="shared" si="92"/>
        <v>7</v>
      </c>
      <c r="BR47" s="16">
        <f aca="true" t="shared" si="93" ref="BR47:EC47">BR46-BR45</f>
        <v>7</v>
      </c>
      <c r="BS47" s="16">
        <f t="shared" si="93"/>
        <v>7</v>
      </c>
      <c r="BT47" s="27">
        <f t="shared" si="93"/>
        <v>7</v>
      </c>
      <c r="BU47" s="27">
        <f t="shared" si="93"/>
        <v>7</v>
      </c>
      <c r="BV47" s="27">
        <f t="shared" si="93"/>
        <v>7</v>
      </c>
      <c r="BW47" s="16">
        <f t="shared" si="93"/>
        <v>7</v>
      </c>
      <c r="BX47" s="16">
        <f t="shared" si="93"/>
        <v>7</v>
      </c>
      <c r="BY47" s="16">
        <f t="shared" si="93"/>
        <v>0</v>
      </c>
      <c r="BZ47" s="16">
        <f t="shared" si="93"/>
        <v>0</v>
      </c>
      <c r="CA47" s="16">
        <f t="shared" si="93"/>
        <v>0</v>
      </c>
      <c r="CB47" s="16">
        <f t="shared" si="93"/>
        <v>0</v>
      </c>
      <c r="CC47" s="16">
        <f t="shared" si="93"/>
        <v>7.5</v>
      </c>
      <c r="CD47" s="16">
        <f t="shared" si="93"/>
        <v>7.5</v>
      </c>
      <c r="CE47" s="16">
        <f t="shared" si="93"/>
        <v>7.5</v>
      </c>
      <c r="CF47" s="16">
        <f t="shared" si="93"/>
        <v>7.5</v>
      </c>
      <c r="CG47" s="16">
        <f t="shared" si="93"/>
        <v>7.5</v>
      </c>
      <c r="CH47" s="16">
        <f t="shared" si="93"/>
        <v>7.5</v>
      </c>
      <c r="CI47" s="16">
        <f t="shared" si="93"/>
        <v>7.5</v>
      </c>
      <c r="CJ47" s="16">
        <f t="shared" si="93"/>
        <v>7.5</v>
      </c>
      <c r="CK47" s="16">
        <f t="shared" si="93"/>
        <v>7.5</v>
      </c>
      <c r="CL47" s="16">
        <f t="shared" si="93"/>
        <v>7.5</v>
      </c>
      <c r="CM47" s="16">
        <f t="shared" si="93"/>
        <v>7.5</v>
      </c>
      <c r="CN47" s="16">
        <f t="shared" si="93"/>
        <v>7.5</v>
      </c>
      <c r="CO47" s="16">
        <f t="shared" si="93"/>
        <v>7.5</v>
      </c>
      <c r="CP47" s="16">
        <f t="shared" si="93"/>
        <v>0</v>
      </c>
      <c r="CQ47" s="16">
        <f t="shared" si="93"/>
        <v>0</v>
      </c>
      <c r="CR47" s="16">
        <f t="shared" si="93"/>
        <v>0</v>
      </c>
      <c r="CS47" s="16">
        <f t="shared" si="93"/>
        <v>0</v>
      </c>
      <c r="CT47" s="16">
        <f t="shared" si="93"/>
        <v>0</v>
      </c>
      <c r="CU47" s="16">
        <f t="shared" si="93"/>
        <v>0</v>
      </c>
      <c r="CV47" s="16">
        <f t="shared" si="93"/>
        <v>0</v>
      </c>
      <c r="CW47" s="16">
        <f t="shared" si="93"/>
        <v>0</v>
      </c>
      <c r="CX47" s="16">
        <f t="shared" si="93"/>
        <v>0</v>
      </c>
      <c r="CY47" s="16">
        <f t="shared" si="93"/>
        <v>0</v>
      </c>
      <c r="CZ47" s="16">
        <f t="shared" si="93"/>
        <v>0</v>
      </c>
      <c r="DA47" s="16">
        <f t="shared" si="93"/>
        <v>0</v>
      </c>
      <c r="DB47" s="16">
        <f t="shared" si="93"/>
        <v>0</v>
      </c>
      <c r="DC47" s="16">
        <f t="shared" si="93"/>
        <v>0</v>
      </c>
      <c r="DD47" s="16">
        <f t="shared" si="93"/>
        <v>0</v>
      </c>
      <c r="DE47" s="16">
        <f t="shared" si="93"/>
        <v>0</v>
      </c>
      <c r="DF47" s="16">
        <f t="shared" si="93"/>
        <v>0</v>
      </c>
      <c r="DG47" s="16">
        <f t="shared" si="93"/>
        <v>0</v>
      </c>
      <c r="DH47" s="16">
        <f t="shared" si="93"/>
        <v>0</v>
      </c>
      <c r="DI47" s="16">
        <f t="shared" si="93"/>
        <v>0</v>
      </c>
      <c r="DJ47" s="16">
        <f t="shared" si="93"/>
        <v>0</v>
      </c>
      <c r="DK47" s="16">
        <f t="shared" si="93"/>
        <v>0</v>
      </c>
      <c r="DL47" s="16">
        <f t="shared" si="93"/>
        <v>0</v>
      </c>
      <c r="DM47" s="16">
        <f t="shared" si="93"/>
        <v>0</v>
      </c>
      <c r="DN47" s="16">
        <f t="shared" si="93"/>
        <v>0</v>
      </c>
      <c r="DO47" s="16">
        <f t="shared" si="93"/>
        <v>0</v>
      </c>
      <c r="DP47" s="17">
        <f t="shared" si="93"/>
        <v>4.2</v>
      </c>
      <c r="DQ47" s="17">
        <f t="shared" si="93"/>
        <v>4.2</v>
      </c>
      <c r="DR47" s="17">
        <f t="shared" si="93"/>
        <v>4.2</v>
      </c>
      <c r="DS47" s="17">
        <f t="shared" si="93"/>
        <v>4.2</v>
      </c>
      <c r="DT47" s="17">
        <f t="shared" si="93"/>
        <v>4.2</v>
      </c>
      <c r="DU47" s="16">
        <f t="shared" si="93"/>
        <v>4.2</v>
      </c>
      <c r="DV47" s="16">
        <f t="shared" si="93"/>
        <v>4.199999999999998</v>
      </c>
      <c r="DW47" s="16">
        <f t="shared" si="93"/>
        <v>0</v>
      </c>
      <c r="DX47" s="16">
        <f t="shared" si="93"/>
        <v>0</v>
      </c>
      <c r="DY47" s="16">
        <f t="shared" si="93"/>
        <v>0</v>
      </c>
      <c r="DZ47" s="16">
        <f t="shared" si="93"/>
        <v>0</v>
      </c>
      <c r="EA47" s="16">
        <f t="shared" si="93"/>
        <v>0</v>
      </c>
      <c r="EB47" s="16">
        <f t="shared" si="93"/>
        <v>2.1000000000000005</v>
      </c>
      <c r="EC47" s="16">
        <f t="shared" si="93"/>
        <v>2.1000000000000005</v>
      </c>
      <c r="ED47" s="16">
        <f aca="true" t="shared" si="94" ref="ED47:GO47">ED46-ED45</f>
        <v>2.1000000000000005</v>
      </c>
      <c r="EE47" s="16">
        <f t="shared" si="94"/>
        <v>0</v>
      </c>
      <c r="EF47" s="16">
        <f t="shared" si="94"/>
        <v>0</v>
      </c>
      <c r="EG47" s="16">
        <f t="shared" si="94"/>
        <v>0</v>
      </c>
      <c r="EH47" s="16">
        <f t="shared" si="94"/>
        <v>2.7</v>
      </c>
      <c r="EI47" s="16">
        <f t="shared" si="94"/>
        <v>0</v>
      </c>
      <c r="EJ47" s="16">
        <f t="shared" si="94"/>
        <v>1.4</v>
      </c>
      <c r="EK47" s="16">
        <f t="shared" si="94"/>
        <v>0</v>
      </c>
      <c r="EL47" s="16">
        <f t="shared" si="94"/>
        <v>0</v>
      </c>
      <c r="EM47" s="16">
        <f t="shared" si="94"/>
        <v>0</v>
      </c>
      <c r="EN47" s="16">
        <f t="shared" si="94"/>
        <v>0</v>
      </c>
      <c r="EO47" s="16">
        <f t="shared" si="94"/>
        <v>0</v>
      </c>
      <c r="EP47" s="16">
        <f t="shared" si="94"/>
        <v>0</v>
      </c>
      <c r="EQ47" s="16">
        <f t="shared" si="94"/>
        <v>0</v>
      </c>
      <c r="ER47" s="16">
        <f t="shared" si="94"/>
        <v>0</v>
      </c>
      <c r="ES47" s="16">
        <f t="shared" si="94"/>
        <v>0</v>
      </c>
      <c r="ET47" s="16">
        <f t="shared" si="94"/>
        <v>0</v>
      </c>
      <c r="EU47" s="16">
        <f t="shared" si="94"/>
        <v>0</v>
      </c>
      <c r="EV47" s="16">
        <f t="shared" si="94"/>
        <v>0</v>
      </c>
      <c r="EW47" s="16">
        <f t="shared" si="94"/>
        <v>0</v>
      </c>
      <c r="EX47" s="16">
        <f t="shared" si="94"/>
        <v>0</v>
      </c>
      <c r="EY47" s="16">
        <f t="shared" si="94"/>
        <v>0</v>
      </c>
      <c r="EZ47" s="16">
        <f t="shared" si="94"/>
        <v>0</v>
      </c>
      <c r="FA47" s="16">
        <f t="shared" si="94"/>
        <v>0</v>
      </c>
      <c r="FB47" s="16">
        <f t="shared" si="94"/>
        <v>0</v>
      </c>
      <c r="FC47" s="16">
        <f t="shared" si="94"/>
        <v>0</v>
      </c>
      <c r="FD47" s="16">
        <f t="shared" si="94"/>
        <v>0</v>
      </c>
      <c r="FE47" s="16">
        <f t="shared" si="94"/>
        <v>0</v>
      </c>
      <c r="FF47" s="16">
        <f t="shared" si="94"/>
        <v>0</v>
      </c>
      <c r="FG47" s="16">
        <f t="shared" si="94"/>
        <v>0</v>
      </c>
      <c r="FH47" s="16">
        <f t="shared" si="94"/>
        <v>0</v>
      </c>
      <c r="FI47" s="16">
        <f t="shared" si="94"/>
        <v>0</v>
      </c>
      <c r="FJ47" s="16">
        <f t="shared" si="94"/>
        <v>0</v>
      </c>
      <c r="FK47" s="16">
        <f t="shared" si="94"/>
        <v>0</v>
      </c>
      <c r="FL47" s="16">
        <f t="shared" si="94"/>
        <v>0</v>
      </c>
      <c r="FM47" s="16">
        <f t="shared" si="94"/>
        <v>0</v>
      </c>
      <c r="FN47" s="16">
        <f t="shared" si="94"/>
        <v>0</v>
      </c>
      <c r="FO47" s="16">
        <f t="shared" si="94"/>
        <v>0</v>
      </c>
      <c r="FP47" s="16">
        <f t="shared" si="94"/>
        <v>0</v>
      </c>
      <c r="FQ47" s="16">
        <f t="shared" si="94"/>
        <v>0</v>
      </c>
      <c r="FR47" s="16">
        <f t="shared" si="94"/>
        <v>0</v>
      </c>
      <c r="FS47" s="16">
        <f t="shared" si="94"/>
        <v>0</v>
      </c>
      <c r="FT47" s="16">
        <f t="shared" si="94"/>
        <v>0</v>
      </c>
      <c r="FU47" s="16">
        <f t="shared" si="94"/>
        <v>0</v>
      </c>
      <c r="FV47" s="16">
        <f t="shared" si="94"/>
        <v>0</v>
      </c>
      <c r="FW47" s="16">
        <f t="shared" si="94"/>
        <v>0</v>
      </c>
      <c r="FX47" s="16">
        <f t="shared" si="94"/>
        <v>0</v>
      </c>
      <c r="FY47" s="16">
        <f t="shared" si="94"/>
        <v>0</v>
      </c>
      <c r="FZ47" s="16">
        <f t="shared" si="94"/>
        <v>0</v>
      </c>
      <c r="GA47" s="16">
        <f t="shared" si="94"/>
        <v>0</v>
      </c>
      <c r="GB47" s="16">
        <f t="shared" si="94"/>
        <v>0</v>
      </c>
      <c r="GC47" s="16">
        <f t="shared" si="94"/>
        <v>0</v>
      </c>
      <c r="GD47" s="16">
        <f t="shared" si="94"/>
        <v>0</v>
      </c>
      <c r="GE47" s="16">
        <f t="shared" si="94"/>
        <v>0</v>
      </c>
      <c r="GF47" s="16">
        <f t="shared" si="94"/>
        <v>0</v>
      </c>
      <c r="GG47" s="16">
        <f t="shared" si="94"/>
        <v>0</v>
      </c>
      <c r="GH47" s="16">
        <f t="shared" si="94"/>
        <v>0</v>
      </c>
      <c r="GI47" s="16">
        <f t="shared" si="94"/>
        <v>0</v>
      </c>
      <c r="GJ47" s="16">
        <f t="shared" si="94"/>
        <v>0</v>
      </c>
      <c r="GK47" s="16">
        <f t="shared" si="94"/>
        <v>0</v>
      </c>
      <c r="GL47" s="16">
        <f t="shared" si="94"/>
        <v>0</v>
      </c>
      <c r="GM47" s="16">
        <f t="shared" si="94"/>
        <v>0</v>
      </c>
      <c r="GN47" s="16">
        <f t="shared" si="94"/>
        <v>0</v>
      </c>
      <c r="GO47" s="16">
        <f t="shared" si="94"/>
        <v>0</v>
      </c>
    </row>
    <row r="48" spans="1:256" s="9" customFormat="1" ht="15">
      <c r="A48" s="4" t="s">
        <v>234</v>
      </c>
      <c r="B48" s="4">
        <v>28</v>
      </c>
      <c r="C48" s="12" t="s">
        <v>216</v>
      </c>
      <c r="O48" s="29"/>
      <c r="X48" s="19">
        <v>21.1</v>
      </c>
      <c r="AA48" s="29"/>
      <c r="AD48" s="29"/>
      <c r="AE48" s="29"/>
      <c r="BD48" s="30">
        <v>18.2</v>
      </c>
      <c r="BE48" s="30">
        <v>20</v>
      </c>
      <c r="BP48" s="19">
        <v>45.9</v>
      </c>
      <c r="BT48" s="31"/>
      <c r="BU48" s="31"/>
      <c r="BV48" s="31"/>
      <c r="CH48" s="30">
        <v>10.7</v>
      </c>
      <c r="CP48" s="19">
        <v>57</v>
      </c>
      <c r="CZ48" s="30">
        <v>46.6</v>
      </c>
      <c r="DD48" s="30">
        <v>20</v>
      </c>
      <c r="DE48" s="30">
        <v>20</v>
      </c>
      <c r="DF48" s="30">
        <v>20</v>
      </c>
      <c r="DG48" s="30">
        <v>20</v>
      </c>
      <c r="DH48" s="30">
        <v>16</v>
      </c>
      <c r="DP48" s="19">
        <v>25.7</v>
      </c>
      <c r="DQ48" s="30">
        <v>23.3</v>
      </c>
      <c r="DR48" s="29"/>
      <c r="DS48" s="29"/>
      <c r="DT48" s="30">
        <v>40</v>
      </c>
      <c r="EP48" s="19">
        <v>90</v>
      </c>
      <c r="EQ48" s="19">
        <v>30</v>
      </c>
      <c r="ER48" s="19">
        <v>25</v>
      </c>
      <c r="EZ48" s="30">
        <v>21.6</v>
      </c>
      <c r="FR48" s="9">
        <v>100</v>
      </c>
      <c r="FY48" s="9">
        <v>30</v>
      </c>
      <c r="FZ48" s="9">
        <v>33</v>
      </c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197" s="42" customFormat="1" ht="15">
      <c r="A49" s="53" t="s">
        <v>235</v>
      </c>
      <c r="B49" s="35"/>
      <c r="C49" s="24" t="s">
        <v>217</v>
      </c>
      <c r="D49" s="25">
        <v>21.399999999999977</v>
      </c>
      <c r="E49" s="25">
        <f>D50</f>
        <v>21.399999999999977</v>
      </c>
      <c r="F49" s="25">
        <f aca="true" t="shared" si="95" ref="F49:BQ49">E50</f>
        <v>21.399999999999977</v>
      </c>
      <c r="G49" s="25">
        <f t="shared" si="95"/>
        <v>21.399999999999977</v>
      </c>
      <c r="H49" s="25">
        <f t="shared" si="95"/>
        <v>21.399999999999977</v>
      </c>
      <c r="I49" s="25">
        <f t="shared" si="95"/>
        <v>21.399999999999977</v>
      </c>
      <c r="J49" s="25">
        <f t="shared" si="95"/>
        <v>21.399999999999977</v>
      </c>
      <c r="K49" s="25">
        <f t="shared" si="95"/>
        <v>21.399999999999977</v>
      </c>
      <c r="L49" s="25">
        <f t="shared" si="95"/>
        <v>21.399999999999977</v>
      </c>
      <c r="M49" s="25">
        <f t="shared" si="95"/>
        <v>21.399999999999977</v>
      </c>
      <c r="N49" s="25">
        <f t="shared" si="95"/>
        <v>21.399999999999977</v>
      </c>
      <c r="O49" s="37">
        <f t="shared" si="95"/>
        <v>21.399999999999977</v>
      </c>
      <c r="P49" s="25">
        <f t="shared" si="95"/>
        <v>21.399999999999977</v>
      </c>
      <c r="Q49" s="25">
        <f t="shared" si="95"/>
        <v>21.399999999999977</v>
      </c>
      <c r="R49" s="25">
        <f t="shared" si="95"/>
        <v>21.399999999999977</v>
      </c>
      <c r="S49" s="25">
        <f t="shared" si="95"/>
        <v>21.399999999999977</v>
      </c>
      <c r="T49" s="25">
        <f t="shared" si="95"/>
        <v>21.399999999999977</v>
      </c>
      <c r="U49" s="25">
        <f t="shared" si="95"/>
        <v>21.399999999999977</v>
      </c>
      <c r="V49" s="25">
        <f t="shared" si="95"/>
        <v>21.399999999999977</v>
      </c>
      <c r="W49" s="25">
        <f t="shared" si="95"/>
        <v>21.399999999999977</v>
      </c>
      <c r="X49" s="37">
        <f t="shared" si="95"/>
        <v>21.399999999999977</v>
      </c>
      <c r="Y49" s="25">
        <f t="shared" si="95"/>
        <v>0.29999999999997584</v>
      </c>
      <c r="Z49" s="25">
        <f t="shared" si="95"/>
        <v>0.29999999999997584</v>
      </c>
      <c r="AA49" s="25">
        <f t="shared" si="95"/>
        <v>0.29999999999997584</v>
      </c>
      <c r="AB49" s="25">
        <f t="shared" si="95"/>
        <v>0.29999999999997584</v>
      </c>
      <c r="AC49" s="25">
        <f t="shared" si="95"/>
        <v>0.29999999999997584</v>
      </c>
      <c r="AD49" s="37">
        <f t="shared" si="95"/>
        <v>0.29999999999997584</v>
      </c>
      <c r="AE49" s="37">
        <f t="shared" si="95"/>
        <v>0.29999999999997584</v>
      </c>
      <c r="AF49" s="25">
        <f t="shared" si="95"/>
        <v>0.29999999999997584</v>
      </c>
      <c r="AG49" s="25">
        <f t="shared" si="95"/>
        <v>0.29999999999997584</v>
      </c>
      <c r="AH49" s="25">
        <f t="shared" si="95"/>
        <v>0.29999999999997584</v>
      </c>
      <c r="AI49" s="25">
        <f t="shared" si="95"/>
        <v>0.29999999999997584</v>
      </c>
      <c r="AJ49" s="25">
        <f t="shared" si="95"/>
        <v>0.29999999999997584</v>
      </c>
      <c r="AK49" s="25">
        <f t="shared" si="95"/>
        <v>0.29999999999997584</v>
      </c>
      <c r="AL49" s="25">
        <f t="shared" si="95"/>
        <v>0.29999999999997584</v>
      </c>
      <c r="AM49" s="25">
        <f t="shared" si="95"/>
        <v>0.29999999999997584</v>
      </c>
      <c r="AN49" s="25">
        <f t="shared" si="95"/>
        <v>0.29999999999997584</v>
      </c>
      <c r="AO49" s="25">
        <f t="shared" si="95"/>
        <v>0.29999999999997584</v>
      </c>
      <c r="AP49" s="25">
        <f t="shared" si="95"/>
        <v>0.29999999999997584</v>
      </c>
      <c r="AQ49" s="25">
        <f t="shared" si="95"/>
        <v>0.29999999999997584</v>
      </c>
      <c r="AR49" s="25">
        <f>AQ50+37.9</f>
        <v>38.199999999999974</v>
      </c>
      <c r="AS49" s="25">
        <f t="shared" si="95"/>
        <v>38.199999999999974</v>
      </c>
      <c r="AT49" s="25">
        <f t="shared" si="95"/>
        <v>38.199999999999974</v>
      </c>
      <c r="AU49" s="25">
        <f t="shared" si="95"/>
        <v>38.199999999999974</v>
      </c>
      <c r="AV49" s="25">
        <f t="shared" si="95"/>
        <v>38.199999999999974</v>
      </c>
      <c r="AW49" s="25">
        <f t="shared" si="95"/>
        <v>38.199999999999974</v>
      </c>
      <c r="AX49" s="25">
        <f t="shared" si="95"/>
        <v>38.199999999999974</v>
      </c>
      <c r="AY49" s="25">
        <f t="shared" si="95"/>
        <v>38.199999999999974</v>
      </c>
      <c r="AZ49" s="25">
        <f t="shared" si="95"/>
        <v>38.199999999999974</v>
      </c>
      <c r="BA49" s="25">
        <f t="shared" si="95"/>
        <v>38.199999999999974</v>
      </c>
      <c r="BB49" s="25">
        <f t="shared" si="95"/>
        <v>38.199999999999974</v>
      </c>
      <c r="BC49" s="25">
        <f t="shared" si="95"/>
        <v>38.199999999999974</v>
      </c>
      <c r="BD49" s="25">
        <f t="shared" si="95"/>
        <v>38.199999999999974</v>
      </c>
      <c r="BE49" s="25">
        <f t="shared" si="95"/>
        <v>19.999999999999975</v>
      </c>
      <c r="BF49" s="25">
        <f t="shared" si="95"/>
        <v>0</v>
      </c>
      <c r="BG49" s="25">
        <f t="shared" si="95"/>
        <v>0</v>
      </c>
      <c r="BH49" s="25">
        <f t="shared" si="95"/>
        <v>0</v>
      </c>
      <c r="BI49" s="25">
        <f t="shared" si="95"/>
        <v>0</v>
      </c>
      <c r="BJ49" s="25">
        <f t="shared" si="95"/>
        <v>0</v>
      </c>
      <c r="BK49" s="25">
        <f>BJ50+45.9</f>
        <v>45.9</v>
      </c>
      <c r="BL49" s="25">
        <f t="shared" si="95"/>
        <v>45.9</v>
      </c>
      <c r="BM49" s="25">
        <f t="shared" si="95"/>
        <v>45.9</v>
      </c>
      <c r="BN49" s="25">
        <f t="shared" si="95"/>
        <v>45.9</v>
      </c>
      <c r="BO49" s="25">
        <f t="shared" si="95"/>
        <v>45.9</v>
      </c>
      <c r="BP49" s="25">
        <f t="shared" si="95"/>
        <v>45.9</v>
      </c>
      <c r="BQ49" s="25">
        <f t="shared" si="95"/>
        <v>0</v>
      </c>
      <c r="BR49" s="25">
        <f aca="true" t="shared" si="96" ref="BR49:EC49">BQ50</f>
        <v>0</v>
      </c>
      <c r="BS49" s="25">
        <f t="shared" si="96"/>
        <v>0</v>
      </c>
      <c r="BT49" s="40">
        <f t="shared" si="96"/>
        <v>0</v>
      </c>
      <c r="BU49" s="40">
        <f t="shared" si="96"/>
        <v>0</v>
      </c>
      <c r="BV49" s="40">
        <f t="shared" si="96"/>
        <v>0</v>
      </c>
      <c r="BW49" s="25">
        <f t="shared" si="96"/>
        <v>0</v>
      </c>
      <c r="BX49" s="25">
        <f t="shared" si="96"/>
        <v>0</v>
      </c>
      <c r="BY49" s="25">
        <f t="shared" si="96"/>
        <v>0</v>
      </c>
      <c r="BZ49" s="25">
        <f t="shared" si="96"/>
        <v>0</v>
      </c>
      <c r="CA49" s="25">
        <f t="shared" si="96"/>
        <v>0</v>
      </c>
      <c r="CB49" s="25">
        <f t="shared" si="96"/>
        <v>0</v>
      </c>
      <c r="CC49" s="25">
        <f t="shared" si="96"/>
        <v>0</v>
      </c>
      <c r="CD49" s="25">
        <f>CC50+20.7</f>
        <v>20.7</v>
      </c>
      <c r="CE49" s="25">
        <f t="shared" si="96"/>
        <v>20.7</v>
      </c>
      <c r="CF49" s="25">
        <f t="shared" si="96"/>
        <v>20.7</v>
      </c>
      <c r="CG49" s="25">
        <f t="shared" si="96"/>
        <v>20.7</v>
      </c>
      <c r="CH49" s="25">
        <f>CG50+19.1+27.9</f>
        <v>67.69999999999999</v>
      </c>
      <c r="CI49" s="25">
        <f t="shared" si="96"/>
        <v>56.999999999999986</v>
      </c>
      <c r="CJ49" s="25">
        <f>CI50</f>
        <v>56.999999999999986</v>
      </c>
      <c r="CK49" s="25">
        <f t="shared" si="96"/>
        <v>56.999999999999986</v>
      </c>
      <c r="CL49" s="25">
        <f t="shared" si="96"/>
        <v>56.999999999999986</v>
      </c>
      <c r="CM49" s="25">
        <f t="shared" si="96"/>
        <v>56.999999999999986</v>
      </c>
      <c r="CN49" s="25">
        <f t="shared" si="96"/>
        <v>56.999999999999986</v>
      </c>
      <c r="CO49" s="25">
        <f>CN50+42.9</f>
        <v>99.89999999999998</v>
      </c>
      <c r="CP49" s="25">
        <f t="shared" si="96"/>
        <v>99.89999999999998</v>
      </c>
      <c r="CQ49" s="25">
        <f t="shared" si="96"/>
        <v>42.89999999999998</v>
      </c>
      <c r="CR49" s="25">
        <f t="shared" si="96"/>
        <v>42.89999999999998</v>
      </c>
      <c r="CS49" s="25">
        <f t="shared" si="96"/>
        <v>42.89999999999998</v>
      </c>
      <c r="CT49" s="25">
        <f t="shared" si="96"/>
        <v>42.89999999999998</v>
      </c>
      <c r="CU49" s="25">
        <f>CT50+3.7</f>
        <v>46.59999999999998</v>
      </c>
      <c r="CV49" s="25">
        <f t="shared" si="96"/>
        <v>46.59999999999998</v>
      </c>
      <c r="CW49" s="25">
        <f t="shared" si="96"/>
        <v>46.59999999999998</v>
      </c>
      <c r="CX49" s="25">
        <f>CW50+49</f>
        <v>95.59999999999998</v>
      </c>
      <c r="CY49" s="25">
        <f t="shared" si="96"/>
        <v>95.59999999999998</v>
      </c>
      <c r="CZ49" s="25">
        <f>CY50+47.6</f>
        <v>143.2</v>
      </c>
      <c r="DA49" s="25">
        <f>CZ50</f>
        <v>96.6</v>
      </c>
      <c r="DB49" s="25">
        <f t="shared" si="96"/>
        <v>96.6</v>
      </c>
      <c r="DC49" s="25">
        <f t="shared" si="96"/>
        <v>96.6</v>
      </c>
      <c r="DD49" s="25">
        <f t="shared" si="96"/>
        <v>96.6</v>
      </c>
      <c r="DE49" s="25">
        <f t="shared" si="96"/>
        <v>76.6</v>
      </c>
      <c r="DF49" s="25">
        <f t="shared" si="96"/>
        <v>56.599999999999994</v>
      </c>
      <c r="DG49" s="25">
        <f t="shared" si="96"/>
        <v>36.599999999999994</v>
      </c>
      <c r="DH49" s="25">
        <f t="shared" si="96"/>
        <v>16.599999999999994</v>
      </c>
      <c r="DI49" s="25">
        <f t="shared" si="96"/>
        <v>0.5999999999999943</v>
      </c>
      <c r="DJ49" s="25">
        <f>DI50+2.7</f>
        <v>3.2999999999999945</v>
      </c>
      <c r="DK49" s="25">
        <f>DJ50+45.7</f>
        <v>49</v>
      </c>
      <c r="DL49" s="25">
        <f t="shared" si="96"/>
        <v>49</v>
      </c>
      <c r="DM49" s="25">
        <f t="shared" si="96"/>
        <v>49</v>
      </c>
      <c r="DN49" s="25">
        <f t="shared" si="96"/>
        <v>49</v>
      </c>
      <c r="DO49" s="25">
        <f t="shared" si="96"/>
        <v>49</v>
      </c>
      <c r="DP49" s="37">
        <f t="shared" si="96"/>
        <v>49</v>
      </c>
      <c r="DQ49" s="37">
        <f t="shared" si="96"/>
        <v>23.3</v>
      </c>
      <c r="DR49" s="37">
        <f t="shared" si="96"/>
        <v>0</v>
      </c>
      <c r="DS49" s="37">
        <f>DR50+40.4+23.1</f>
        <v>63.5</v>
      </c>
      <c r="DT49" s="37">
        <f t="shared" si="96"/>
        <v>63.5</v>
      </c>
      <c r="DU49" s="25">
        <f t="shared" si="96"/>
        <v>23.5</v>
      </c>
      <c r="DV49" s="25">
        <f t="shared" si="96"/>
        <v>23.5</v>
      </c>
      <c r="DW49" s="25">
        <f t="shared" si="96"/>
        <v>23.5</v>
      </c>
      <c r="DX49" s="25">
        <f t="shared" si="96"/>
        <v>23.5</v>
      </c>
      <c r="DY49" s="25">
        <f t="shared" si="96"/>
        <v>23.5</v>
      </c>
      <c r="DZ49" s="25">
        <f t="shared" si="96"/>
        <v>23.5</v>
      </c>
      <c r="EA49" s="25">
        <f t="shared" si="96"/>
        <v>23.5</v>
      </c>
      <c r="EB49" s="25">
        <f t="shared" si="96"/>
        <v>23.5</v>
      </c>
      <c r="EC49" s="25">
        <f t="shared" si="96"/>
        <v>23.5</v>
      </c>
      <c r="ED49" s="25">
        <f aca="true" t="shared" si="97" ref="ED49:GO49">EC50</f>
        <v>23.5</v>
      </c>
      <c r="EE49" s="25">
        <f t="shared" si="97"/>
        <v>23.5</v>
      </c>
      <c r="EF49" s="25">
        <f>EE50+44.5</f>
        <v>68</v>
      </c>
      <c r="EG49" s="25">
        <f t="shared" si="97"/>
        <v>68</v>
      </c>
      <c r="EH49" s="25">
        <f t="shared" si="97"/>
        <v>68</v>
      </c>
      <c r="EI49" s="25">
        <f t="shared" si="97"/>
        <v>68</v>
      </c>
      <c r="EJ49" s="25">
        <f t="shared" si="97"/>
        <v>68</v>
      </c>
      <c r="EK49" s="25">
        <f>EJ50+20.5+48</f>
        <v>136.5</v>
      </c>
      <c r="EL49" s="25">
        <f t="shared" si="97"/>
        <v>136.5</v>
      </c>
      <c r="EM49" s="25">
        <f t="shared" si="97"/>
        <v>136.5</v>
      </c>
      <c r="EN49" s="25">
        <f t="shared" si="97"/>
        <v>136.5</v>
      </c>
      <c r="EO49" s="25">
        <f t="shared" si="97"/>
        <v>136.5</v>
      </c>
      <c r="EP49" s="25">
        <f t="shared" si="97"/>
        <v>136.5</v>
      </c>
      <c r="EQ49" s="25">
        <f>EP50+26.1</f>
        <v>72.6</v>
      </c>
      <c r="ER49" s="25">
        <f>EQ50</f>
        <v>42.599999999999994</v>
      </c>
      <c r="ES49" s="25">
        <f>ER50</f>
        <v>17.599999999999994</v>
      </c>
      <c r="ET49" s="25">
        <f>ES50</f>
        <v>17.599999999999994</v>
      </c>
      <c r="EU49" s="25">
        <f t="shared" si="97"/>
        <v>17.599999999999994</v>
      </c>
      <c r="EV49" s="25">
        <f>EU50+36.9</f>
        <v>54.49999999999999</v>
      </c>
      <c r="EW49" s="25">
        <f t="shared" si="97"/>
        <v>54.49999999999999</v>
      </c>
      <c r="EX49" s="25">
        <f t="shared" si="97"/>
        <v>54.49999999999999</v>
      </c>
      <c r="EY49" s="25">
        <f t="shared" si="97"/>
        <v>54.49999999999999</v>
      </c>
      <c r="EZ49" s="25">
        <f t="shared" si="97"/>
        <v>54.49999999999999</v>
      </c>
      <c r="FA49" s="25">
        <f t="shared" si="97"/>
        <v>32.89999999999999</v>
      </c>
      <c r="FB49" s="25">
        <f t="shared" si="97"/>
        <v>32.89999999999999</v>
      </c>
      <c r="FC49" s="25">
        <f t="shared" si="97"/>
        <v>32.89999999999999</v>
      </c>
      <c r="FD49" s="25">
        <f t="shared" si="97"/>
        <v>32.89999999999999</v>
      </c>
      <c r="FE49" s="25">
        <f t="shared" si="97"/>
        <v>32.89999999999999</v>
      </c>
      <c r="FF49" s="25">
        <f t="shared" si="97"/>
        <v>32.89999999999999</v>
      </c>
      <c r="FG49" s="25">
        <f t="shared" si="97"/>
        <v>32.89999999999999</v>
      </c>
      <c r="FH49" s="25">
        <f t="shared" si="97"/>
        <v>32.89999999999999</v>
      </c>
      <c r="FI49" s="25">
        <f t="shared" si="97"/>
        <v>32.89999999999999</v>
      </c>
      <c r="FJ49" s="25">
        <f t="shared" si="97"/>
        <v>32.89999999999999</v>
      </c>
      <c r="FK49" s="25">
        <f t="shared" si="97"/>
        <v>32.89999999999999</v>
      </c>
      <c r="FL49" s="25">
        <f t="shared" si="97"/>
        <v>32.89999999999999</v>
      </c>
      <c r="FM49" s="25">
        <f>FL50+64.9+65.2</f>
        <v>163</v>
      </c>
      <c r="FN49" s="25">
        <f t="shared" si="97"/>
        <v>163</v>
      </c>
      <c r="FO49" s="25">
        <f t="shared" si="97"/>
        <v>163</v>
      </c>
      <c r="FP49" s="25">
        <f t="shared" si="97"/>
        <v>163</v>
      </c>
      <c r="FQ49" s="25">
        <f t="shared" si="97"/>
        <v>163</v>
      </c>
      <c r="FR49" s="25">
        <f t="shared" si="97"/>
        <v>163</v>
      </c>
      <c r="FS49" s="25">
        <f t="shared" si="97"/>
        <v>63</v>
      </c>
      <c r="FT49" s="25">
        <f t="shared" si="97"/>
        <v>63</v>
      </c>
      <c r="FU49" s="25">
        <f t="shared" si="97"/>
        <v>63</v>
      </c>
      <c r="FV49" s="25">
        <f t="shared" si="97"/>
        <v>63</v>
      </c>
      <c r="FW49" s="25">
        <f t="shared" si="97"/>
        <v>63</v>
      </c>
      <c r="FX49" s="25">
        <f t="shared" si="97"/>
        <v>63</v>
      </c>
      <c r="FY49" s="25">
        <f t="shared" si="97"/>
        <v>63</v>
      </c>
      <c r="FZ49" s="25">
        <f t="shared" si="97"/>
        <v>33</v>
      </c>
      <c r="GA49" s="25">
        <f>FZ50+54.7+3.9</f>
        <v>58.6</v>
      </c>
      <c r="GB49" s="25">
        <f t="shared" si="97"/>
        <v>58.6</v>
      </c>
      <c r="GC49" s="25">
        <f t="shared" si="97"/>
        <v>58.6</v>
      </c>
      <c r="GD49" s="25">
        <f t="shared" si="97"/>
        <v>58.6</v>
      </c>
      <c r="GE49" s="25">
        <f t="shared" si="97"/>
        <v>58.6</v>
      </c>
      <c r="GF49" s="25">
        <f t="shared" si="97"/>
        <v>58.6</v>
      </c>
      <c r="GG49" s="25">
        <f t="shared" si="97"/>
        <v>58.6</v>
      </c>
      <c r="GH49" s="25">
        <f t="shared" si="97"/>
        <v>58.6</v>
      </c>
      <c r="GI49" s="25">
        <f t="shared" si="97"/>
        <v>58.6</v>
      </c>
      <c r="GJ49" s="25">
        <f t="shared" si="97"/>
        <v>58.6</v>
      </c>
      <c r="GK49" s="25">
        <f t="shared" si="97"/>
        <v>58.6</v>
      </c>
      <c r="GL49" s="25">
        <f t="shared" si="97"/>
        <v>58.6</v>
      </c>
      <c r="GM49" s="25">
        <f t="shared" si="97"/>
        <v>58.6</v>
      </c>
      <c r="GN49" s="25">
        <f t="shared" si="97"/>
        <v>58.6</v>
      </c>
      <c r="GO49" s="25">
        <f t="shared" si="97"/>
        <v>58.6</v>
      </c>
    </row>
    <row r="50" spans="1:197" s="42" customFormat="1" ht="15">
      <c r="A50" s="35"/>
      <c r="B50" s="35"/>
      <c r="C50" s="24" t="s">
        <v>218</v>
      </c>
      <c r="D50" s="43">
        <f>D49-D48</f>
        <v>21.399999999999977</v>
      </c>
      <c r="E50" s="43">
        <f>E49-E48</f>
        <v>21.399999999999977</v>
      </c>
      <c r="F50" s="43">
        <f aca="true" t="shared" si="98" ref="F50:BQ50">F49-F48</f>
        <v>21.399999999999977</v>
      </c>
      <c r="G50" s="43">
        <f t="shared" si="98"/>
        <v>21.399999999999977</v>
      </c>
      <c r="H50" s="43">
        <f t="shared" si="98"/>
        <v>21.399999999999977</v>
      </c>
      <c r="I50" s="43">
        <f t="shared" si="98"/>
        <v>21.399999999999977</v>
      </c>
      <c r="J50" s="43">
        <f t="shared" si="98"/>
        <v>21.399999999999977</v>
      </c>
      <c r="K50" s="43">
        <f t="shared" si="98"/>
        <v>21.399999999999977</v>
      </c>
      <c r="L50" s="43">
        <f t="shared" si="98"/>
        <v>21.399999999999977</v>
      </c>
      <c r="M50" s="43">
        <f t="shared" si="98"/>
        <v>21.399999999999977</v>
      </c>
      <c r="N50" s="43">
        <f t="shared" si="98"/>
        <v>21.399999999999977</v>
      </c>
      <c r="O50" s="44">
        <f t="shared" si="98"/>
        <v>21.399999999999977</v>
      </c>
      <c r="P50" s="43">
        <f t="shared" si="98"/>
        <v>21.399999999999977</v>
      </c>
      <c r="Q50" s="43">
        <f t="shared" si="98"/>
        <v>21.399999999999977</v>
      </c>
      <c r="R50" s="43">
        <f t="shared" si="98"/>
        <v>21.399999999999977</v>
      </c>
      <c r="S50" s="43">
        <f t="shared" si="98"/>
        <v>21.399999999999977</v>
      </c>
      <c r="T50" s="43">
        <f t="shared" si="98"/>
        <v>21.399999999999977</v>
      </c>
      <c r="U50" s="43">
        <f t="shared" si="98"/>
        <v>21.399999999999977</v>
      </c>
      <c r="V50" s="43">
        <f t="shared" si="98"/>
        <v>21.399999999999977</v>
      </c>
      <c r="W50" s="43">
        <f t="shared" si="98"/>
        <v>21.399999999999977</v>
      </c>
      <c r="X50" s="44">
        <f t="shared" si="98"/>
        <v>0.29999999999997584</v>
      </c>
      <c r="Y50" s="43">
        <f t="shared" si="98"/>
        <v>0.29999999999997584</v>
      </c>
      <c r="Z50" s="43">
        <f t="shared" si="98"/>
        <v>0.29999999999997584</v>
      </c>
      <c r="AA50" s="43">
        <f t="shared" si="98"/>
        <v>0.29999999999997584</v>
      </c>
      <c r="AB50" s="43">
        <f t="shared" si="98"/>
        <v>0.29999999999997584</v>
      </c>
      <c r="AC50" s="43">
        <f t="shared" si="98"/>
        <v>0.29999999999997584</v>
      </c>
      <c r="AD50" s="44">
        <f t="shared" si="98"/>
        <v>0.29999999999997584</v>
      </c>
      <c r="AE50" s="44">
        <f t="shared" si="98"/>
        <v>0.29999999999997584</v>
      </c>
      <c r="AF50" s="43">
        <f t="shared" si="98"/>
        <v>0.29999999999997584</v>
      </c>
      <c r="AG50" s="43">
        <f t="shared" si="98"/>
        <v>0.29999999999997584</v>
      </c>
      <c r="AH50" s="43">
        <f t="shared" si="98"/>
        <v>0.29999999999997584</v>
      </c>
      <c r="AI50" s="43">
        <f t="shared" si="98"/>
        <v>0.29999999999997584</v>
      </c>
      <c r="AJ50" s="43">
        <f t="shared" si="98"/>
        <v>0.29999999999997584</v>
      </c>
      <c r="AK50" s="43">
        <f t="shared" si="98"/>
        <v>0.29999999999997584</v>
      </c>
      <c r="AL50" s="43">
        <f t="shared" si="98"/>
        <v>0.29999999999997584</v>
      </c>
      <c r="AM50" s="43">
        <f t="shared" si="98"/>
        <v>0.29999999999997584</v>
      </c>
      <c r="AN50" s="43">
        <f t="shared" si="98"/>
        <v>0.29999999999997584</v>
      </c>
      <c r="AO50" s="43">
        <f t="shared" si="98"/>
        <v>0.29999999999997584</v>
      </c>
      <c r="AP50" s="43">
        <f t="shared" si="98"/>
        <v>0.29999999999997584</v>
      </c>
      <c r="AQ50" s="43">
        <f t="shared" si="98"/>
        <v>0.29999999999997584</v>
      </c>
      <c r="AR50" s="43">
        <f t="shared" si="98"/>
        <v>38.199999999999974</v>
      </c>
      <c r="AS50" s="43">
        <f t="shared" si="98"/>
        <v>38.199999999999974</v>
      </c>
      <c r="AT50" s="43">
        <f t="shared" si="98"/>
        <v>38.199999999999974</v>
      </c>
      <c r="AU50" s="43">
        <f t="shared" si="98"/>
        <v>38.199999999999974</v>
      </c>
      <c r="AV50" s="43">
        <f t="shared" si="98"/>
        <v>38.199999999999974</v>
      </c>
      <c r="AW50" s="43">
        <f t="shared" si="98"/>
        <v>38.199999999999974</v>
      </c>
      <c r="AX50" s="43">
        <f t="shared" si="98"/>
        <v>38.199999999999974</v>
      </c>
      <c r="AY50" s="43">
        <f t="shared" si="98"/>
        <v>38.199999999999974</v>
      </c>
      <c r="AZ50" s="43">
        <f t="shared" si="98"/>
        <v>38.199999999999974</v>
      </c>
      <c r="BA50" s="43">
        <f t="shared" si="98"/>
        <v>38.199999999999974</v>
      </c>
      <c r="BB50" s="43">
        <f t="shared" si="98"/>
        <v>38.199999999999974</v>
      </c>
      <c r="BC50" s="43">
        <f t="shared" si="98"/>
        <v>38.199999999999974</v>
      </c>
      <c r="BD50" s="43">
        <f t="shared" si="98"/>
        <v>19.999999999999975</v>
      </c>
      <c r="BE50" s="43">
        <f t="shared" si="98"/>
        <v>0</v>
      </c>
      <c r="BF50" s="43">
        <f t="shared" si="98"/>
        <v>0</v>
      </c>
      <c r="BG50" s="43">
        <f t="shared" si="98"/>
        <v>0</v>
      </c>
      <c r="BH50" s="43">
        <f t="shared" si="98"/>
        <v>0</v>
      </c>
      <c r="BI50" s="43">
        <f t="shared" si="98"/>
        <v>0</v>
      </c>
      <c r="BJ50" s="43">
        <f t="shared" si="98"/>
        <v>0</v>
      </c>
      <c r="BK50" s="43">
        <f t="shared" si="98"/>
        <v>45.9</v>
      </c>
      <c r="BL50" s="43">
        <f t="shared" si="98"/>
        <v>45.9</v>
      </c>
      <c r="BM50" s="43">
        <f t="shared" si="98"/>
        <v>45.9</v>
      </c>
      <c r="BN50" s="43">
        <f t="shared" si="98"/>
        <v>45.9</v>
      </c>
      <c r="BO50" s="43">
        <f t="shared" si="98"/>
        <v>45.9</v>
      </c>
      <c r="BP50" s="43">
        <f t="shared" si="98"/>
        <v>0</v>
      </c>
      <c r="BQ50" s="43">
        <f t="shared" si="98"/>
        <v>0</v>
      </c>
      <c r="BR50" s="43">
        <f aca="true" t="shared" si="99" ref="BR50:EC50">BR49-BR48</f>
        <v>0</v>
      </c>
      <c r="BS50" s="43">
        <f t="shared" si="99"/>
        <v>0</v>
      </c>
      <c r="BT50" s="45">
        <f t="shared" si="99"/>
        <v>0</v>
      </c>
      <c r="BU50" s="45">
        <f t="shared" si="99"/>
        <v>0</v>
      </c>
      <c r="BV50" s="45">
        <f t="shared" si="99"/>
        <v>0</v>
      </c>
      <c r="BW50" s="43">
        <f t="shared" si="99"/>
        <v>0</v>
      </c>
      <c r="BX50" s="43">
        <f t="shared" si="99"/>
        <v>0</v>
      </c>
      <c r="BY50" s="43">
        <f t="shared" si="99"/>
        <v>0</v>
      </c>
      <c r="BZ50" s="43">
        <f t="shared" si="99"/>
        <v>0</v>
      </c>
      <c r="CA50" s="43">
        <f t="shared" si="99"/>
        <v>0</v>
      </c>
      <c r="CB50" s="43">
        <f t="shared" si="99"/>
        <v>0</v>
      </c>
      <c r="CC50" s="43">
        <f t="shared" si="99"/>
        <v>0</v>
      </c>
      <c r="CD50" s="43">
        <f t="shared" si="99"/>
        <v>20.7</v>
      </c>
      <c r="CE50" s="43">
        <f t="shared" si="99"/>
        <v>20.7</v>
      </c>
      <c r="CF50" s="43">
        <f t="shared" si="99"/>
        <v>20.7</v>
      </c>
      <c r="CG50" s="43">
        <f t="shared" si="99"/>
        <v>20.7</v>
      </c>
      <c r="CH50" s="43">
        <f t="shared" si="99"/>
        <v>56.999999999999986</v>
      </c>
      <c r="CI50" s="43">
        <f t="shared" si="99"/>
        <v>56.999999999999986</v>
      </c>
      <c r="CJ50" s="43">
        <f t="shared" si="99"/>
        <v>56.999999999999986</v>
      </c>
      <c r="CK50" s="43">
        <f t="shared" si="99"/>
        <v>56.999999999999986</v>
      </c>
      <c r="CL50" s="43">
        <f t="shared" si="99"/>
        <v>56.999999999999986</v>
      </c>
      <c r="CM50" s="43">
        <f t="shared" si="99"/>
        <v>56.999999999999986</v>
      </c>
      <c r="CN50" s="43">
        <f t="shared" si="99"/>
        <v>56.999999999999986</v>
      </c>
      <c r="CO50" s="43">
        <f t="shared" si="99"/>
        <v>99.89999999999998</v>
      </c>
      <c r="CP50" s="43">
        <f t="shared" si="99"/>
        <v>42.89999999999998</v>
      </c>
      <c r="CQ50" s="43">
        <f t="shared" si="99"/>
        <v>42.89999999999998</v>
      </c>
      <c r="CR50" s="43">
        <f t="shared" si="99"/>
        <v>42.89999999999998</v>
      </c>
      <c r="CS50" s="43">
        <f t="shared" si="99"/>
        <v>42.89999999999998</v>
      </c>
      <c r="CT50" s="43">
        <f t="shared" si="99"/>
        <v>42.89999999999998</v>
      </c>
      <c r="CU50" s="43">
        <f t="shared" si="99"/>
        <v>46.59999999999998</v>
      </c>
      <c r="CV50" s="43">
        <f t="shared" si="99"/>
        <v>46.59999999999998</v>
      </c>
      <c r="CW50" s="43">
        <f t="shared" si="99"/>
        <v>46.59999999999998</v>
      </c>
      <c r="CX50" s="43">
        <f t="shared" si="99"/>
        <v>95.59999999999998</v>
      </c>
      <c r="CY50" s="43">
        <f t="shared" si="99"/>
        <v>95.59999999999998</v>
      </c>
      <c r="CZ50" s="43">
        <f t="shared" si="99"/>
        <v>96.6</v>
      </c>
      <c r="DA50" s="43">
        <f t="shared" si="99"/>
        <v>96.6</v>
      </c>
      <c r="DB50" s="43">
        <f t="shared" si="99"/>
        <v>96.6</v>
      </c>
      <c r="DC50" s="43">
        <f t="shared" si="99"/>
        <v>96.6</v>
      </c>
      <c r="DD50" s="43">
        <f t="shared" si="99"/>
        <v>76.6</v>
      </c>
      <c r="DE50" s="43">
        <f t="shared" si="99"/>
        <v>56.599999999999994</v>
      </c>
      <c r="DF50" s="43">
        <f t="shared" si="99"/>
        <v>36.599999999999994</v>
      </c>
      <c r="DG50" s="43">
        <f t="shared" si="99"/>
        <v>16.599999999999994</v>
      </c>
      <c r="DH50" s="43">
        <f t="shared" si="99"/>
        <v>0.5999999999999943</v>
      </c>
      <c r="DI50" s="43">
        <f t="shared" si="99"/>
        <v>0.5999999999999943</v>
      </c>
      <c r="DJ50" s="43">
        <f t="shared" si="99"/>
        <v>3.2999999999999945</v>
      </c>
      <c r="DK50" s="43">
        <f t="shared" si="99"/>
        <v>49</v>
      </c>
      <c r="DL50" s="43">
        <f t="shared" si="99"/>
        <v>49</v>
      </c>
      <c r="DM50" s="43">
        <f t="shared" si="99"/>
        <v>49</v>
      </c>
      <c r="DN50" s="43">
        <f t="shared" si="99"/>
        <v>49</v>
      </c>
      <c r="DO50" s="43">
        <f t="shared" si="99"/>
        <v>49</v>
      </c>
      <c r="DP50" s="44">
        <f t="shared" si="99"/>
        <v>23.3</v>
      </c>
      <c r="DQ50" s="44">
        <f t="shared" si="99"/>
        <v>0</v>
      </c>
      <c r="DR50" s="44">
        <f t="shared" si="99"/>
        <v>0</v>
      </c>
      <c r="DS50" s="44">
        <f t="shared" si="99"/>
        <v>63.5</v>
      </c>
      <c r="DT50" s="44">
        <f t="shared" si="99"/>
        <v>23.5</v>
      </c>
      <c r="DU50" s="43">
        <f t="shared" si="99"/>
        <v>23.5</v>
      </c>
      <c r="DV50" s="43">
        <f t="shared" si="99"/>
        <v>23.5</v>
      </c>
      <c r="DW50" s="43">
        <f t="shared" si="99"/>
        <v>23.5</v>
      </c>
      <c r="DX50" s="43">
        <f t="shared" si="99"/>
        <v>23.5</v>
      </c>
      <c r="DY50" s="43">
        <f t="shared" si="99"/>
        <v>23.5</v>
      </c>
      <c r="DZ50" s="43">
        <f t="shared" si="99"/>
        <v>23.5</v>
      </c>
      <c r="EA50" s="43">
        <f t="shared" si="99"/>
        <v>23.5</v>
      </c>
      <c r="EB50" s="43">
        <f t="shared" si="99"/>
        <v>23.5</v>
      </c>
      <c r="EC50" s="43">
        <f t="shared" si="99"/>
        <v>23.5</v>
      </c>
      <c r="ED50" s="43">
        <f aca="true" t="shared" si="100" ref="ED50:GO50">ED49-ED48</f>
        <v>23.5</v>
      </c>
      <c r="EE50" s="43">
        <f t="shared" si="100"/>
        <v>23.5</v>
      </c>
      <c r="EF50" s="43">
        <f t="shared" si="100"/>
        <v>68</v>
      </c>
      <c r="EG50" s="43">
        <f t="shared" si="100"/>
        <v>68</v>
      </c>
      <c r="EH50" s="43">
        <f t="shared" si="100"/>
        <v>68</v>
      </c>
      <c r="EI50" s="43">
        <f t="shared" si="100"/>
        <v>68</v>
      </c>
      <c r="EJ50" s="43">
        <f t="shared" si="100"/>
        <v>68</v>
      </c>
      <c r="EK50" s="43">
        <f t="shared" si="100"/>
        <v>136.5</v>
      </c>
      <c r="EL50" s="43">
        <f t="shared" si="100"/>
        <v>136.5</v>
      </c>
      <c r="EM50" s="43">
        <f t="shared" si="100"/>
        <v>136.5</v>
      </c>
      <c r="EN50" s="43">
        <f t="shared" si="100"/>
        <v>136.5</v>
      </c>
      <c r="EO50" s="43">
        <f t="shared" si="100"/>
        <v>136.5</v>
      </c>
      <c r="EP50" s="43">
        <f t="shared" si="100"/>
        <v>46.5</v>
      </c>
      <c r="EQ50" s="43">
        <f t="shared" si="100"/>
        <v>42.599999999999994</v>
      </c>
      <c r="ER50" s="43">
        <f t="shared" si="100"/>
        <v>17.599999999999994</v>
      </c>
      <c r="ES50" s="43">
        <f t="shared" si="100"/>
        <v>17.599999999999994</v>
      </c>
      <c r="ET50" s="43">
        <f t="shared" si="100"/>
        <v>17.599999999999994</v>
      </c>
      <c r="EU50" s="43">
        <f t="shared" si="100"/>
        <v>17.599999999999994</v>
      </c>
      <c r="EV50" s="43">
        <f t="shared" si="100"/>
        <v>54.49999999999999</v>
      </c>
      <c r="EW50" s="43">
        <f t="shared" si="100"/>
        <v>54.49999999999999</v>
      </c>
      <c r="EX50" s="43">
        <f t="shared" si="100"/>
        <v>54.49999999999999</v>
      </c>
      <c r="EY50" s="43">
        <f t="shared" si="100"/>
        <v>54.49999999999999</v>
      </c>
      <c r="EZ50" s="43">
        <f t="shared" si="100"/>
        <v>32.89999999999999</v>
      </c>
      <c r="FA50" s="43">
        <f t="shared" si="100"/>
        <v>32.89999999999999</v>
      </c>
      <c r="FB50" s="43">
        <f t="shared" si="100"/>
        <v>32.89999999999999</v>
      </c>
      <c r="FC50" s="43">
        <f t="shared" si="100"/>
        <v>32.89999999999999</v>
      </c>
      <c r="FD50" s="43">
        <f t="shared" si="100"/>
        <v>32.89999999999999</v>
      </c>
      <c r="FE50" s="43">
        <f t="shared" si="100"/>
        <v>32.89999999999999</v>
      </c>
      <c r="FF50" s="43">
        <f t="shared" si="100"/>
        <v>32.89999999999999</v>
      </c>
      <c r="FG50" s="43">
        <f t="shared" si="100"/>
        <v>32.89999999999999</v>
      </c>
      <c r="FH50" s="43">
        <f t="shared" si="100"/>
        <v>32.89999999999999</v>
      </c>
      <c r="FI50" s="43">
        <f t="shared" si="100"/>
        <v>32.89999999999999</v>
      </c>
      <c r="FJ50" s="43">
        <f t="shared" si="100"/>
        <v>32.89999999999999</v>
      </c>
      <c r="FK50" s="43">
        <f t="shared" si="100"/>
        <v>32.89999999999999</v>
      </c>
      <c r="FL50" s="43">
        <f t="shared" si="100"/>
        <v>32.89999999999999</v>
      </c>
      <c r="FM50" s="43">
        <f t="shared" si="100"/>
        <v>163</v>
      </c>
      <c r="FN50" s="43">
        <f t="shared" si="100"/>
        <v>163</v>
      </c>
      <c r="FO50" s="43">
        <f t="shared" si="100"/>
        <v>163</v>
      </c>
      <c r="FP50" s="43">
        <f t="shared" si="100"/>
        <v>163</v>
      </c>
      <c r="FQ50" s="43">
        <f t="shared" si="100"/>
        <v>163</v>
      </c>
      <c r="FR50" s="43">
        <f t="shared" si="100"/>
        <v>63</v>
      </c>
      <c r="FS50" s="43">
        <f t="shared" si="100"/>
        <v>63</v>
      </c>
      <c r="FT50" s="43">
        <f t="shared" si="100"/>
        <v>63</v>
      </c>
      <c r="FU50" s="43">
        <f t="shared" si="100"/>
        <v>63</v>
      </c>
      <c r="FV50" s="43">
        <f t="shared" si="100"/>
        <v>63</v>
      </c>
      <c r="FW50" s="43">
        <f t="shared" si="100"/>
        <v>63</v>
      </c>
      <c r="FX50" s="43">
        <f t="shared" si="100"/>
        <v>63</v>
      </c>
      <c r="FY50" s="43">
        <f t="shared" si="100"/>
        <v>33</v>
      </c>
      <c r="FZ50" s="43">
        <f t="shared" si="100"/>
        <v>0</v>
      </c>
      <c r="GA50" s="43">
        <f t="shared" si="100"/>
        <v>58.6</v>
      </c>
      <c r="GB50" s="43">
        <f t="shared" si="100"/>
        <v>58.6</v>
      </c>
      <c r="GC50" s="43">
        <f t="shared" si="100"/>
        <v>58.6</v>
      </c>
      <c r="GD50" s="43">
        <f t="shared" si="100"/>
        <v>58.6</v>
      </c>
      <c r="GE50" s="43">
        <f t="shared" si="100"/>
        <v>58.6</v>
      </c>
      <c r="GF50" s="43">
        <f t="shared" si="100"/>
        <v>58.6</v>
      </c>
      <c r="GG50" s="43">
        <f t="shared" si="100"/>
        <v>58.6</v>
      </c>
      <c r="GH50" s="43">
        <f t="shared" si="100"/>
        <v>58.6</v>
      </c>
      <c r="GI50" s="43">
        <f t="shared" si="100"/>
        <v>58.6</v>
      </c>
      <c r="GJ50" s="43">
        <f t="shared" si="100"/>
        <v>58.6</v>
      </c>
      <c r="GK50" s="43">
        <f t="shared" si="100"/>
        <v>58.6</v>
      </c>
      <c r="GL50" s="43">
        <f t="shared" si="100"/>
        <v>58.6</v>
      </c>
      <c r="GM50" s="43">
        <f t="shared" si="100"/>
        <v>58.6</v>
      </c>
      <c r="GN50" s="43">
        <f t="shared" si="100"/>
        <v>58.6</v>
      </c>
      <c r="GO50" s="43">
        <f t="shared" si="100"/>
        <v>58.6</v>
      </c>
    </row>
    <row r="51" spans="1:256" s="9" customFormat="1" ht="15">
      <c r="A51" s="54" t="s">
        <v>236</v>
      </c>
      <c r="B51" s="4"/>
      <c r="C51" s="12" t="s">
        <v>216</v>
      </c>
      <c r="O51" s="19">
        <v>32.7</v>
      </c>
      <c r="X51" s="29"/>
      <c r="AD51" s="29"/>
      <c r="AE51" s="29"/>
      <c r="AH51" s="19">
        <v>49.1</v>
      </c>
      <c r="AX51" s="30">
        <v>24.1</v>
      </c>
      <c r="AY51" s="30">
        <v>25</v>
      </c>
      <c r="BR51" s="30">
        <v>17.5</v>
      </c>
      <c r="BT51" s="31"/>
      <c r="BU51" s="31"/>
      <c r="BV51" s="31"/>
      <c r="DE51" s="30">
        <v>35</v>
      </c>
      <c r="DP51" s="29"/>
      <c r="DQ51" s="29"/>
      <c r="DR51" s="29"/>
      <c r="DS51" s="29"/>
      <c r="DT51" s="29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197" ht="15">
      <c r="A52" s="4"/>
      <c r="B52" s="55">
        <v>14</v>
      </c>
      <c r="C52" s="12" t="s">
        <v>217</v>
      </c>
      <c r="D52" s="14">
        <v>0</v>
      </c>
      <c r="E52" s="14">
        <f>D53</f>
        <v>0</v>
      </c>
      <c r="F52" s="14">
        <f aca="true" t="shared" si="101" ref="F52:BQ52">E53</f>
        <v>0</v>
      </c>
      <c r="G52" s="14">
        <f>F53+32.7</f>
        <v>32.7</v>
      </c>
      <c r="H52" s="14">
        <f t="shared" si="101"/>
        <v>32.7</v>
      </c>
      <c r="I52" s="14">
        <f t="shared" si="101"/>
        <v>32.7</v>
      </c>
      <c r="J52" s="14">
        <f t="shared" si="101"/>
        <v>32.7</v>
      </c>
      <c r="K52" s="14">
        <f t="shared" si="101"/>
        <v>32.7</v>
      </c>
      <c r="L52" s="14">
        <f t="shared" si="101"/>
        <v>32.7</v>
      </c>
      <c r="M52" s="14">
        <f t="shared" si="101"/>
        <v>32.7</v>
      </c>
      <c r="N52" s="14">
        <f t="shared" si="101"/>
        <v>32.7</v>
      </c>
      <c r="O52" s="15">
        <f t="shared" si="101"/>
        <v>32.7</v>
      </c>
      <c r="P52" s="14">
        <f t="shared" si="101"/>
        <v>0</v>
      </c>
      <c r="Q52" s="14">
        <f t="shared" si="101"/>
        <v>0</v>
      </c>
      <c r="R52" s="14">
        <f t="shared" si="101"/>
        <v>0</v>
      </c>
      <c r="S52" s="14">
        <f t="shared" si="101"/>
        <v>0</v>
      </c>
      <c r="T52" s="14">
        <f t="shared" si="101"/>
        <v>0</v>
      </c>
      <c r="U52" s="14">
        <f t="shared" si="101"/>
        <v>0</v>
      </c>
      <c r="V52" s="14">
        <f t="shared" si="101"/>
        <v>0</v>
      </c>
      <c r="W52" s="14">
        <f t="shared" si="101"/>
        <v>0</v>
      </c>
      <c r="X52" s="15">
        <f t="shared" si="101"/>
        <v>0</v>
      </c>
      <c r="Y52" s="14">
        <f t="shared" si="101"/>
        <v>0</v>
      </c>
      <c r="Z52" s="14">
        <f t="shared" si="101"/>
        <v>0</v>
      </c>
      <c r="AA52" s="14">
        <f t="shared" si="101"/>
        <v>0</v>
      </c>
      <c r="AB52" s="14">
        <f t="shared" si="101"/>
        <v>0</v>
      </c>
      <c r="AC52" s="14">
        <f t="shared" si="101"/>
        <v>0</v>
      </c>
      <c r="AD52" s="15">
        <f t="shared" si="101"/>
        <v>0</v>
      </c>
      <c r="AE52" s="15">
        <f t="shared" si="101"/>
        <v>0</v>
      </c>
      <c r="AF52" s="14">
        <f t="shared" si="101"/>
        <v>0</v>
      </c>
      <c r="AG52" s="14">
        <f t="shared" si="101"/>
        <v>0</v>
      </c>
      <c r="AH52" s="14">
        <f>AG53+49.1</f>
        <v>49.1</v>
      </c>
      <c r="AI52" s="14">
        <f t="shared" si="101"/>
        <v>0</v>
      </c>
      <c r="AJ52" s="14">
        <f>AI53</f>
        <v>0</v>
      </c>
      <c r="AK52" s="14">
        <f t="shared" si="101"/>
        <v>0</v>
      </c>
      <c r="AL52" s="14">
        <f t="shared" si="101"/>
        <v>0</v>
      </c>
      <c r="AM52" s="14">
        <f t="shared" si="101"/>
        <v>0</v>
      </c>
      <c r="AN52" s="14">
        <f t="shared" si="101"/>
        <v>0</v>
      </c>
      <c r="AO52" s="14">
        <f t="shared" si="101"/>
        <v>0</v>
      </c>
      <c r="AP52" s="14">
        <f t="shared" si="101"/>
        <v>0</v>
      </c>
      <c r="AQ52" s="14">
        <f t="shared" si="101"/>
        <v>0</v>
      </c>
      <c r="AR52" s="14">
        <f t="shared" si="101"/>
        <v>0</v>
      </c>
      <c r="AS52" s="14">
        <f t="shared" si="101"/>
        <v>0</v>
      </c>
      <c r="AT52" s="14">
        <f t="shared" si="101"/>
        <v>0</v>
      </c>
      <c r="AU52" s="14">
        <f t="shared" si="101"/>
        <v>0</v>
      </c>
      <c r="AV52" s="14">
        <f>AU53+49.1</f>
        <v>49.1</v>
      </c>
      <c r="AW52" s="14">
        <f t="shared" si="101"/>
        <v>49.1</v>
      </c>
      <c r="AX52" s="14">
        <f t="shared" si="101"/>
        <v>49.1</v>
      </c>
      <c r="AY52" s="14">
        <f t="shared" si="101"/>
        <v>25</v>
      </c>
      <c r="AZ52" s="14">
        <f t="shared" si="101"/>
        <v>0</v>
      </c>
      <c r="BA52" s="14">
        <f t="shared" si="101"/>
        <v>0</v>
      </c>
      <c r="BB52" s="14">
        <f t="shared" si="101"/>
        <v>0</v>
      </c>
      <c r="BC52" s="14">
        <f t="shared" si="101"/>
        <v>0</v>
      </c>
      <c r="BD52" s="14">
        <f t="shared" si="101"/>
        <v>0</v>
      </c>
      <c r="BE52" s="14">
        <f t="shared" si="101"/>
        <v>0</v>
      </c>
      <c r="BF52" s="14">
        <f t="shared" si="101"/>
        <v>0</v>
      </c>
      <c r="BG52" s="14">
        <f t="shared" si="101"/>
        <v>0</v>
      </c>
      <c r="BH52" s="14">
        <f t="shared" si="101"/>
        <v>0</v>
      </c>
      <c r="BI52" s="14">
        <f t="shared" si="101"/>
        <v>0</v>
      </c>
      <c r="BJ52" s="14">
        <f t="shared" si="101"/>
        <v>0</v>
      </c>
      <c r="BK52" s="14">
        <f t="shared" si="101"/>
        <v>0</v>
      </c>
      <c r="BL52" s="14">
        <f t="shared" si="101"/>
        <v>0</v>
      </c>
      <c r="BM52" s="14">
        <f t="shared" si="101"/>
        <v>0</v>
      </c>
      <c r="BN52" s="14">
        <f>BM53+17.5</f>
        <v>17.5</v>
      </c>
      <c r="BO52" s="14">
        <f t="shared" si="101"/>
        <v>17.5</v>
      </c>
      <c r="BP52" s="14">
        <f t="shared" si="101"/>
        <v>17.5</v>
      </c>
      <c r="BQ52" s="14">
        <f t="shared" si="101"/>
        <v>17.5</v>
      </c>
      <c r="BR52" s="14">
        <f aca="true" t="shared" si="102" ref="BR52:EC52">BQ53</f>
        <v>17.5</v>
      </c>
      <c r="BS52" s="14">
        <f t="shared" si="102"/>
        <v>0</v>
      </c>
      <c r="BT52" s="26">
        <f t="shared" si="102"/>
        <v>0</v>
      </c>
      <c r="BU52" s="26">
        <f t="shared" si="102"/>
        <v>0</v>
      </c>
      <c r="BV52" s="26">
        <f t="shared" si="102"/>
        <v>0</v>
      </c>
      <c r="BW52" s="14">
        <f t="shared" si="102"/>
        <v>0</v>
      </c>
      <c r="BX52" s="14">
        <f t="shared" si="102"/>
        <v>0</v>
      </c>
      <c r="BY52" s="14">
        <f t="shared" si="102"/>
        <v>0</v>
      </c>
      <c r="BZ52" s="14">
        <f t="shared" si="102"/>
        <v>0</v>
      </c>
      <c r="CA52" s="14">
        <f t="shared" si="102"/>
        <v>0</v>
      </c>
      <c r="CB52" s="14">
        <f t="shared" si="102"/>
        <v>0</v>
      </c>
      <c r="CC52" s="14">
        <f t="shared" si="102"/>
        <v>0</v>
      </c>
      <c r="CD52" s="14">
        <f t="shared" si="102"/>
        <v>0</v>
      </c>
      <c r="CE52" s="14">
        <f t="shared" si="102"/>
        <v>0</v>
      </c>
      <c r="CF52" s="14">
        <f t="shared" si="102"/>
        <v>0</v>
      </c>
      <c r="CG52" s="14">
        <f t="shared" si="102"/>
        <v>0</v>
      </c>
      <c r="CH52" s="14">
        <f t="shared" si="102"/>
        <v>0</v>
      </c>
      <c r="CI52" s="14">
        <f t="shared" si="102"/>
        <v>0</v>
      </c>
      <c r="CJ52" s="14">
        <f t="shared" si="102"/>
        <v>0</v>
      </c>
      <c r="CK52" s="14">
        <f t="shared" si="102"/>
        <v>0</v>
      </c>
      <c r="CL52" s="14">
        <f t="shared" si="102"/>
        <v>0</v>
      </c>
      <c r="CM52" s="14">
        <f t="shared" si="102"/>
        <v>0</v>
      </c>
      <c r="CN52" s="14">
        <f t="shared" si="102"/>
        <v>0</v>
      </c>
      <c r="CO52" s="14">
        <f t="shared" si="102"/>
        <v>0</v>
      </c>
      <c r="CP52" s="14">
        <f t="shared" si="102"/>
        <v>0</v>
      </c>
      <c r="CQ52" s="14">
        <f t="shared" si="102"/>
        <v>0</v>
      </c>
      <c r="CR52" s="14">
        <f t="shared" si="102"/>
        <v>0</v>
      </c>
      <c r="CS52" s="14">
        <f t="shared" si="102"/>
        <v>0</v>
      </c>
      <c r="CT52" s="14">
        <f t="shared" si="102"/>
        <v>0</v>
      </c>
      <c r="CU52" s="14">
        <f t="shared" si="102"/>
        <v>0</v>
      </c>
      <c r="CV52" s="14">
        <f t="shared" si="102"/>
        <v>0</v>
      </c>
      <c r="CW52" s="14">
        <f t="shared" si="102"/>
        <v>0</v>
      </c>
      <c r="CX52" s="14">
        <f t="shared" si="102"/>
        <v>0</v>
      </c>
      <c r="CY52" s="14">
        <f t="shared" si="102"/>
        <v>0</v>
      </c>
      <c r="CZ52" s="14">
        <f>CY53+35</f>
        <v>35</v>
      </c>
      <c r="DA52" s="14">
        <f t="shared" si="102"/>
        <v>35</v>
      </c>
      <c r="DB52" s="14">
        <f t="shared" si="102"/>
        <v>35</v>
      </c>
      <c r="DC52" s="14">
        <f t="shared" si="102"/>
        <v>35</v>
      </c>
      <c r="DD52" s="14">
        <f t="shared" si="102"/>
        <v>35</v>
      </c>
      <c r="DE52" s="14">
        <f t="shared" si="102"/>
        <v>35</v>
      </c>
      <c r="DF52" s="14">
        <f t="shared" si="102"/>
        <v>0</v>
      </c>
      <c r="DG52" s="14">
        <f t="shared" si="102"/>
        <v>0</v>
      </c>
      <c r="DH52" s="14">
        <f t="shared" si="102"/>
        <v>0</v>
      </c>
      <c r="DI52" s="14">
        <f t="shared" si="102"/>
        <v>0</v>
      </c>
      <c r="DJ52" s="14">
        <f t="shared" si="102"/>
        <v>0</v>
      </c>
      <c r="DK52" s="14">
        <f t="shared" si="102"/>
        <v>0</v>
      </c>
      <c r="DL52" s="14">
        <f t="shared" si="102"/>
        <v>0</v>
      </c>
      <c r="DM52" s="14">
        <f t="shared" si="102"/>
        <v>0</v>
      </c>
      <c r="DN52" s="14">
        <f t="shared" si="102"/>
        <v>0</v>
      </c>
      <c r="DO52" s="14">
        <f t="shared" si="102"/>
        <v>0</v>
      </c>
      <c r="DP52" s="15">
        <f t="shared" si="102"/>
        <v>0</v>
      </c>
      <c r="DQ52" s="15">
        <f t="shared" si="102"/>
        <v>0</v>
      </c>
      <c r="DR52" s="15">
        <f t="shared" si="102"/>
        <v>0</v>
      </c>
      <c r="DS52" s="15">
        <f t="shared" si="102"/>
        <v>0</v>
      </c>
      <c r="DT52" s="15">
        <f t="shared" si="102"/>
        <v>0</v>
      </c>
      <c r="DU52" s="14">
        <f t="shared" si="102"/>
        <v>0</v>
      </c>
      <c r="DV52" s="14">
        <f t="shared" si="102"/>
        <v>0</v>
      </c>
      <c r="DW52" s="14">
        <f t="shared" si="102"/>
        <v>0</v>
      </c>
      <c r="DX52" s="14">
        <f t="shared" si="102"/>
        <v>0</v>
      </c>
      <c r="DY52" s="14">
        <f t="shared" si="102"/>
        <v>0</v>
      </c>
      <c r="DZ52" s="14">
        <f t="shared" si="102"/>
        <v>0</v>
      </c>
      <c r="EA52" s="14">
        <f t="shared" si="102"/>
        <v>0</v>
      </c>
      <c r="EB52" s="14">
        <f t="shared" si="102"/>
        <v>0</v>
      </c>
      <c r="EC52" s="14">
        <f t="shared" si="102"/>
        <v>0</v>
      </c>
      <c r="ED52" s="14">
        <f aca="true" t="shared" si="103" ref="ED52:GO52">EC53</f>
        <v>0</v>
      </c>
      <c r="EE52" s="14">
        <f t="shared" si="103"/>
        <v>0</v>
      </c>
      <c r="EF52" s="14">
        <f t="shared" si="103"/>
        <v>0</v>
      </c>
      <c r="EG52" s="14">
        <f t="shared" si="103"/>
        <v>0</v>
      </c>
      <c r="EH52" s="14">
        <f t="shared" si="103"/>
        <v>0</v>
      </c>
      <c r="EI52" s="14">
        <f t="shared" si="103"/>
        <v>0</v>
      </c>
      <c r="EJ52" s="14">
        <f t="shared" si="103"/>
        <v>0</v>
      </c>
      <c r="EK52" s="14">
        <f t="shared" si="103"/>
        <v>0</v>
      </c>
      <c r="EL52" s="14">
        <f t="shared" si="103"/>
        <v>0</v>
      </c>
      <c r="EM52" s="14">
        <f t="shared" si="103"/>
        <v>0</v>
      </c>
      <c r="EN52" s="14">
        <f t="shared" si="103"/>
        <v>0</v>
      </c>
      <c r="EO52" s="14">
        <f t="shared" si="103"/>
        <v>0</v>
      </c>
      <c r="EP52" s="14">
        <f t="shared" si="103"/>
        <v>0</v>
      </c>
      <c r="EQ52" s="14">
        <f t="shared" si="103"/>
        <v>0</v>
      </c>
      <c r="ER52" s="14">
        <f>EQ53</f>
        <v>0</v>
      </c>
      <c r="ES52" s="14">
        <f>ER53</f>
        <v>0</v>
      </c>
      <c r="ET52" s="14">
        <f>ES53</f>
        <v>0</v>
      </c>
      <c r="EU52" s="14">
        <f t="shared" si="103"/>
        <v>0</v>
      </c>
      <c r="EV52" s="14">
        <f t="shared" si="103"/>
        <v>0</v>
      </c>
      <c r="EW52" s="14">
        <f t="shared" si="103"/>
        <v>0</v>
      </c>
      <c r="EX52" s="14">
        <f t="shared" si="103"/>
        <v>0</v>
      </c>
      <c r="EY52" s="14">
        <f t="shared" si="103"/>
        <v>0</v>
      </c>
      <c r="EZ52" s="14">
        <f t="shared" si="103"/>
        <v>0</v>
      </c>
      <c r="FA52" s="14">
        <f t="shared" si="103"/>
        <v>0</v>
      </c>
      <c r="FB52" s="14">
        <f t="shared" si="103"/>
        <v>0</v>
      </c>
      <c r="FC52" s="14">
        <f t="shared" si="103"/>
        <v>0</v>
      </c>
      <c r="FD52" s="14">
        <f t="shared" si="103"/>
        <v>0</v>
      </c>
      <c r="FE52" s="14">
        <f t="shared" si="103"/>
        <v>0</v>
      </c>
      <c r="FF52" s="14">
        <f t="shared" si="103"/>
        <v>0</v>
      </c>
      <c r="FG52" s="14">
        <f t="shared" si="103"/>
        <v>0</v>
      </c>
      <c r="FH52" s="14">
        <f t="shared" si="103"/>
        <v>0</v>
      </c>
      <c r="FI52" s="14">
        <f t="shared" si="103"/>
        <v>0</v>
      </c>
      <c r="FJ52" s="14">
        <f t="shared" si="103"/>
        <v>0</v>
      </c>
      <c r="FK52" s="14">
        <f t="shared" si="103"/>
        <v>0</v>
      </c>
      <c r="FL52" s="14">
        <f t="shared" si="103"/>
        <v>0</v>
      </c>
      <c r="FM52" s="14">
        <f t="shared" si="103"/>
        <v>0</v>
      </c>
      <c r="FN52" s="14">
        <f t="shared" si="103"/>
        <v>0</v>
      </c>
      <c r="FO52" s="14">
        <f t="shared" si="103"/>
        <v>0</v>
      </c>
      <c r="FP52" s="14">
        <f t="shared" si="103"/>
        <v>0</v>
      </c>
      <c r="FQ52" s="14">
        <f t="shared" si="103"/>
        <v>0</v>
      </c>
      <c r="FR52" s="14">
        <f t="shared" si="103"/>
        <v>0</v>
      </c>
      <c r="FS52" s="14">
        <f t="shared" si="103"/>
        <v>0</v>
      </c>
      <c r="FT52" s="14">
        <f t="shared" si="103"/>
        <v>0</v>
      </c>
      <c r="FU52" s="14">
        <f t="shared" si="103"/>
        <v>0</v>
      </c>
      <c r="FV52" s="14">
        <f t="shared" si="103"/>
        <v>0</v>
      </c>
      <c r="FW52" s="14">
        <f t="shared" si="103"/>
        <v>0</v>
      </c>
      <c r="FX52" s="14">
        <f t="shared" si="103"/>
        <v>0</v>
      </c>
      <c r="FY52" s="14">
        <f t="shared" si="103"/>
        <v>0</v>
      </c>
      <c r="FZ52" s="14">
        <f t="shared" si="103"/>
        <v>0</v>
      </c>
      <c r="GA52" s="14">
        <f t="shared" si="103"/>
        <v>0</v>
      </c>
      <c r="GB52" s="14">
        <f t="shared" si="103"/>
        <v>0</v>
      </c>
      <c r="GC52" s="14">
        <f t="shared" si="103"/>
        <v>0</v>
      </c>
      <c r="GD52" s="14">
        <f t="shared" si="103"/>
        <v>0</v>
      </c>
      <c r="GE52" s="14">
        <f t="shared" si="103"/>
        <v>0</v>
      </c>
      <c r="GF52" s="14">
        <f t="shared" si="103"/>
        <v>0</v>
      </c>
      <c r="GG52" s="14">
        <f t="shared" si="103"/>
        <v>0</v>
      </c>
      <c r="GH52" s="14">
        <f t="shared" si="103"/>
        <v>0</v>
      </c>
      <c r="GI52" s="14">
        <f t="shared" si="103"/>
        <v>0</v>
      </c>
      <c r="GJ52" s="14">
        <f t="shared" si="103"/>
        <v>0</v>
      </c>
      <c r="GK52" s="14">
        <f t="shared" si="103"/>
        <v>0</v>
      </c>
      <c r="GL52" s="14">
        <f t="shared" si="103"/>
        <v>0</v>
      </c>
      <c r="GM52" s="14">
        <f t="shared" si="103"/>
        <v>0</v>
      </c>
      <c r="GN52" s="14">
        <f t="shared" si="103"/>
        <v>0</v>
      </c>
      <c r="GO52" s="14">
        <f t="shared" si="103"/>
        <v>0</v>
      </c>
    </row>
    <row r="53" spans="1:197" ht="15">
      <c r="A53" s="4"/>
      <c r="B53" s="4"/>
      <c r="C53" s="12" t="s">
        <v>218</v>
      </c>
      <c r="D53" s="16">
        <f>D52-D51</f>
        <v>0</v>
      </c>
      <c r="E53" s="16">
        <f>E52-E51</f>
        <v>0</v>
      </c>
      <c r="F53" s="16">
        <f aca="true" t="shared" si="104" ref="F53:BQ53">F52-F51</f>
        <v>0</v>
      </c>
      <c r="G53" s="16">
        <f t="shared" si="104"/>
        <v>32.7</v>
      </c>
      <c r="H53" s="16">
        <f t="shared" si="104"/>
        <v>32.7</v>
      </c>
      <c r="I53" s="16">
        <f t="shared" si="104"/>
        <v>32.7</v>
      </c>
      <c r="J53" s="16">
        <f t="shared" si="104"/>
        <v>32.7</v>
      </c>
      <c r="K53" s="16">
        <f t="shared" si="104"/>
        <v>32.7</v>
      </c>
      <c r="L53" s="16">
        <f t="shared" si="104"/>
        <v>32.7</v>
      </c>
      <c r="M53" s="16">
        <f t="shared" si="104"/>
        <v>32.7</v>
      </c>
      <c r="N53" s="16">
        <f t="shared" si="104"/>
        <v>32.7</v>
      </c>
      <c r="O53" s="17">
        <f t="shared" si="104"/>
        <v>0</v>
      </c>
      <c r="P53" s="16">
        <f t="shared" si="104"/>
        <v>0</v>
      </c>
      <c r="Q53" s="16">
        <f t="shared" si="104"/>
        <v>0</v>
      </c>
      <c r="R53" s="16">
        <f t="shared" si="104"/>
        <v>0</v>
      </c>
      <c r="S53" s="16">
        <f t="shared" si="104"/>
        <v>0</v>
      </c>
      <c r="T53" s="16">
        <f t="shared" si="104"/>
        <v>0</v>
      </c>
      <c r="U53" s="16">
        <f t="shared" si="104"/>
        <v>0</v>
      </c>
      <c r="V53" s="16">
        <f t="shared" si="104"/>
        <v>0</v>
      </c>
      <c r="W53" s="16">
        <f t="shared" si="104"/>
        <v>0</v>
      </c>
      <c r="X53" s="17">
        <f t="shared" si="104"/>
        <v>0</v>
      </c>
      <c r="Y53" s="16">
        <f t="shared" si="104"/>
        <v>0</v>
      </c>
      <c r="Z53" s="16">
        <f t="shared" si="104"/>
        <v>0</v>
      </c>
      <c r="AA53" s="16">
        <f t="shared" si="104"/>
        <v>0</v>
      </c>
      <c r="AB53" s="16">
        <f t="shared" si="104"/>
        <v>0</v>
      </c>
      <c r="AC53" s="16">
        <f t="shared" si="104"/>
        <v>0</v>
      </c>
      <c r="AD53" s="17">
        <f t="shared" si="104"/>
        <v>0</v>
      </c>
      <c r="AE53" s="17">
        <f t="shared" si="104"/>
        <v>0</v>
      </c>
      <c r="AF53" s="16">
        <f t="shared" si="104"/>
        <v>0</v>
      </c>
      <c r="AG53" s="16">
        <f t="shared" si="104"/>
        <v>0</v>
      </c>
      <c r="AH53" s="16">
        <f t="shared" si="104"/>
        <v>0</v>
      </c>
      <c r="AI53" s="16">
        <f t="shared" si="104"/>
        <v>0</v>
      </c>
      <c r="AJ53" s="16">
        <f t="shared" si="104"/>
        <v>0</v>
      </c>
      <c r="AK53" s="16">
        <f t="shared" si="104"/>
        <v>0</v>
      </c>
      <c r="AL53" s="16">
        <f t="shared" si="104"/>
        <v>0</v>
      </c>
      <c r="AM53" s="16">
        <f t="shared" si="104"/>
        <v>0</v>
      </c>
      <c r="AN53" s="16">
        <f t="shared" si="104"/>
        <v>0</v>
      </c>
      <c r="AO53" s="16">
        <f t="shared" si="104"/>
        <v>0</v>
      </c>
      <c r="AP53" s="16">
        <f t="shared" si="104"/>
        <v>0</v>
      </c>
      <c r="AQ53" s="16">
        <f t="shared" si="104"/>
        <v>0</v>
      </c>
      <c r="AR53" s="16">
        <f t="shared" si="104"/>
        <v>0</v>
      </c>
      <c r="AS53" s="16">
        <f t="shared" si="104"/>
        <v>0</v>
      </c>
      <c r="AT53" s="16">
        <f t="shared" si="104"/>
        <v>0</v>
      </c>
      <c r="AU53" s="16">
        <f t="shared" si="104"/>
        <v>0</v>
      </c>
      <c r="AV53" s="16">
        <f t="shared" si="104"/>
        <v>49.1</v>
      </c>
      <c r="AW53" s="16">
        <f t="shared" si="104"/>
        <v>49.1</v>
      </c>
      <c r="AX53" s="16">
        <f t="shared" si="104"/>
        <v>25</v>
      </c>
      <c r="AY53" s="16">
        <f t="shared" si="104"/>
        <v>0</v>
      </c>
      <c r="AZ53" s="16">
        <f t="shared" si="104"/>
        <v>0</v>
      </c>
      <c r="BA53" s="16">
        <f t="shared" si="104"/>
        <v>0</v>
      </c>
      <c r="BB53" s="16">
        <f t="shared" si="104"/>
        <v>0</v>
      </c>
      <c r="BC53" s="16">
        <f t="shared" si="104"/>
        <v>0</v>
      </c>
      <c r="BD53" s="16">
        <f t="shared" si="104"/>
        <v>0</v>
      </c>
      <c r="BE53" s="16">
        <f t="shared" si="104"/>
        <v>0</v>
      </c>
      <c r="BF53" s="16">
        <f t="shared" si="104"/>
        <v>0</v>
      </c>
      <c r="BG53" s="16">
        <f t="shared" si="104"/>
        <v>0</v>
      </c>
      <c r="BH53" s="16">
        <f t="shared" si="104"/>
        <v>0</v>
      </c>
      <c r="BI53" s="16">
        <f t="shared" si="104"/>
        <v>0</v>
      </c>
      <c r="BJ53" s="16">
        <f t="shared" si="104"/>
        <v>0</v>
      </c>
      <c r="BK53" s="16">
        <f t="shared" si="104"/>
        <v>0</v>
      </c>
      <c r="BL53" s="16">
        <f t="shared" si="104"/>
        <v>0</v>
      </c>
      <c r="BM53" s="16">
        <f t="shared" si="104"/>
        <v>0</v>
      </c>
      <c r="BN53" s="16">
        <f t="shared" si="104"/>
        <v>17.5</v>
      </c>
      <c r="BO53" s="16">
        <f t="shared" si="104"/>
        <v>17.5</v>
      </c>
      <c r="BP53" s="16">
        <f t="shared" si="104"/>
        <v>17.5</v>
      </c>
      <c r="BQ53" s="16">
        <f t="shared" si="104"/>
        <v>17.5</v>
      </c>
      <c r="BR53" s="16">
        <f aca="true" t="shared" si="105" ref="BR53:EC53">BR52-BR51</f>
        <v>0</v>
      </c>
      <c r="BS53" s="16">
        <f t="shared" si="105"/>
        <v>0</v>
      </c>
      <c r="BT53" s="27">
        <f t="shared" si="105"/>
        <v>0</v>
      </c>
      <c r="BU53" s="27">
        <f t="shared" si="105"/>
        <v>0</v>
      </c>
      <c r="BV53" s="27">
        <f t="shared" si="105"/>
        <v>0</v>
      </c>
      <c r="BW53" s="16">
        <f t="shared" si="105"/>
        <v>0</v>
      </c>
      <c r="BX53" s="16">
        <f t="shared" si="105"/>
        <v>0</v>
      </c>
      <c r="BY53" s="16">
        <f t="shared" si="105"/>
        <v>0</v>
      </c>
      <c r="BZ53" s="16">
        <f t="shared" si="105"/>
        <v>0</v>
      </c>
      <c r="CA53" s="16">
        <f t="shared" si="105"/>
        <v>0</v>
      </c>
      <c r="CB53" s="16">
        <f t="shared" si="105"/>
        <v>0</v>
      </c>
      <c r="CC53" s="16">
        <f t="shared" si="105"/>
        <v>0</v>
      </c>
      <c r="CD53" s="16">
        <f t="shared" si="105"/>
        <v>0</v>
      </c>
      <c r="CE53" s="16">
        <f t="shared" si="105"/>
        <v>0</v>
      </c>
      <c r="CF53" s="16">
        <f t="shared" si="105"/>
        <v>0</v>
      </c>
      <c r="CG53" s="16">
        <f t="shared" si="105"/>
        <v>0</v>
      </c>
      <c r="CH53" s="16">
        <f t="shared" si="105"/>
        <v>0</v>
      </c>
      <c r="CI53" s="16">
        <f t="shared" si="105"/>
        <v>0</v>
      </c>
      <c r="CJ53" s="16">
        <f t="shared" si="105"/>
        <v>0</v>
      </c>
      <c r="CK53" s="16">
        <f t="shared" si="105"/>
        <v>0</v>
      </c>
      <c r="CL53" s="16">
        <f t="shared" si="105"/>
        <v>0</v>
      </c>
      <c r="CM53" s="16">
        <f t="shared" si="105"/>
        <v>0</v>
      </c>
      <c r="CN53" s="16">
        <f t="shared" si="105"/>
        <v>0</v>
      </c>
      <c r="CO53" s="16">
        <f t="shared" si="105"/>
        <v>0</v>
      </c>
      <c r="CP53" s="16">
        <f t="shared" si="105"/>
        <v>0</v>
      </c>
      <c r="CQ53" s="16">
        <f t="shared" si="105"/>
        <v>0</v>
      </c>
      <c r="CR53" s="16">
        <f t="shared" si="105"/>
        <v>0</v>
      </c>
      <c r="CS53" s="16">
        <f t="shared" si="105"/>
        <v>0</v>
      </c>
      <c r="CT53" s="16">
        <f t="shared" si="105"/>
        <v>0</v>
      </c>
      <c r="CU53" s="16">
        <f t="shared" si="105"/>
        <v>0</v>
      </c>
      <c r="CV53" s="16">
        <f t="shared" si="105"/>
        <v>0</v>
      </c>
      <c r="CW53" s="16">
        <f t="shared" si="105"/>
        <v>0</v>
      </c>
      <c r="CX53" s="16">
        <f t="shared" si="105"/>
        <v>0</v>
      </c>
      <c r="CY53" s="16">
        <f t="shared" si="105"/>
        <v>0</v>
      </c>
      <c r="CZ53" s="16">
        <f t="shared" si="105"/>
        <v>35</v>
      </c>
      <c r="DA53" s="16">
        <f t="shared" si="105"/>
        <v>35</v>
      </c>
      <c r="DB53" s="16">
        <f t="shared" si="105"/>
        <v>35</v>
      </c>
      <c r="DC53" s="16">
        <f t="shared" si="105"/>
        <v>35</v>
      </c>
      <c r="DD53" s="16">
        <f t="shared" si="105"/>
        <v>35</v>
      </c>
      <c r="DE53" s="16">
        <f t="shared" si="105"/>
        <v>0</v>
      </c>
      <c r="DF53" s="16">
        <f t="shared" si="105"/>
        <v>0</v>
      </c>
      <c r="DG53" s="16">
        <f t="shared" si="105"/>
        <v>0</v>
      </c>
      <c r="DH53" s="16">
        <f t="shared" si="105"/>
        <v>0</v>
      </c>
      <c r="DI53" s="16">
        <f t="shared" si="105"/>
        <v>0</v>
      </c>
      <c r="DJ53" s="16">
        <f t="shared" si="105"/>
        <v>0</v>
      </c>
      <c r="DK53" s="16">
        <f t="shared" si="105"/>
        <v>0</v>
      </c>
      <c r="DL53" s="16">
        <f t="shared" si="105"/>
        <v>0</v>
      </c>
      <c r="DM53" s="16">
        <f t="shared" si="105"/>
        <v>0</v>
      </c>
      <c r="DN53" s="16">
        <f t="shared" si="105"/>
        <v>0</v>
      </c>
      <c r="DO53" s="16">
        <f t="shared" si="105"/>
        <v>0</v>
      </c>
      <c r="DP53" s="17">
        <f t="shared" si="105"/>
        <v>0</v>
      </c>
      <c r="DQ53" s="17">
        <f t="shared" si="105"/>
        <v>0</v>
      </c>
      <c r="DR53" s="17">
        <f t="shared" si="105"/>
        <v>0</v>
      </c>
      <c r="DS53" s="17">
        <f t="shared" si="105"/>
        <v>0</v>
      </c>
      <c r="DT53" s="17">
        <f t="shared" si="105"/>
        <v>0</v>
      </c>
      <c r="DU53" s="16">
        <f t="shared" si="105"/>
        <v>0</v>
      </c>
      <c r="DV53" s="16">
        <f t="shared" si="105"/>
        <v>0</v>
      </c>
      <c r="DW53" s="16">
        <f t="shared" si="105"/>
        <v>0</v>
      </c>
      <c r="DX53" s="16">
        <f t="shared" si="105"/>
        <v>0</v>
      </c>
      <c r="DY53" s="16">
        <f t="shared" si="105"/>
        <v>0</v>
      </c>
      <c r="DZ53" s="16">
        <f t="shared" si="105"/>
        <v>0</v>
      </c>
      <c r="EA53" s="16">
        <f t="shared" si="105"/>
        <v>0</v>
      </c>
      <c r="EB53" s="16">
        <f t="shared" si="105"/>
        <v>0</v>
      </c>
      <c r="EC53" s="16">
        <f t="shared" si="105"/>
        <v>0</v>
      </c>
      <c r="ED53" s="16">
        <f aca="true" t="shared" si="106" ref="ED53:GO53">ED52-ED51</f>
        <v>0</v>
      </c>
      <c r="EE53" s="16">
        <f t="shared" si="106"/>
        <v>0</v>
      </c>
      <c r="EF53" s="16">
        <f t="shared" si="106"/>
        <v>0</v>
      </c>
      <c r="EG53" s="16">
        <f t="shared" si="106"/>
        <v>0</v>
      </c>
      <c r="EH53" s="16">
        <f t="shared" si="106"/>
        <v>0</v>
      </c>
      <c r="EI53" s="16">
        <f t="shared" si="106"/>
        <v>0</v>
      </c>
      <c r="EJ53" s="16">
        <f t="shared" si="106"/>
        <v>0</v>
      </c>
      <c r="EK53" s="16">
        <f t="shared" si="106"/>
        <v>0</v>
      </c>
      <c r="EL53" s="16">
        <f t="shared" si="106"/>
        <v>0</v>
      </c>
      <c r="EM53" s="16">
        <f t="shared" si="106"/>
        <v>0</v>
      </c>
      <c r="EN53" s="16">
        <f t="shared" si="106"/>
        <v>0</v>
      </c>
      <c r="EO53" s="16">
        <f t="shared" si="106"/>
        <v>0</v>
      </c>
      <c r="EP53" s="16">
        <f t="shared" si="106"/>
        <v>0</v>
      </c>
      <c r="EQ53" s="16">
        <f t="shared" si="106"/>
        <v>0</v>
      </c>
      <c r="ER53" s="16">
        <f t="shared" si="106"/>
        <v>0</v>
      </c>
      <c r="ES53" s="16">
        <f t="shared" si="106"/>
        <v>0</v>
      </c>
      <c r="ET53" s="16">
        <f t="shared" si="106"/>
        <v>0</v>
      </c>
      <c r="EU53" s="16">
        <f t="shared" si="106"/>
        <v>0</v>
      </c>
      <c r="EV53" s="16">
        <f t="shared" si="106"/>
        <v>0</v>
      </c>
      <c r="EW53" s="16">
        <f t="shared" si="106"/>
        <v>0</v>
      </c>
      <c r="EX53" s="16">
        <f t="shared" si="106"/>
        <v>0</v>
      </c>
      <c r="EY53" s="16">
        <f t="shared" si="106"/>
        <v>0</v>
      </c>
      <c r="EZ53" s="16">
        <f t="shared" si="106"/>
        <v>0</v>
      </c>
      <c r="FA53" s="16">
        <f t="shared" si="106"/>
        <v>0</v>
      </c>
      <c r="FB53" s="16">
        <f t="shared" si="106"/>
        <v>0</v>
      </c>
      <c r="FC53" s="16">
        <f t="shared" si="106"/>
        <v>0</v>
      </c>
      <c r="FD53" s="16">
        <f t="shared" si="106"/>
        <v>0</v>
      </c>
      <c r="FE53" s="16">
        <f t="shared" si="106"/>
        <v>0</v>
      </c>
      <c r="FF53" s="16">
        <f t="shared" si="106"/>
        <v>0</v>
      </c>
      <c r="FG53" s="16">
        <f t="shared" si="106"/>
        <v>0</v>
      </c>
      <c r="FH53" s="16">
        <f t="shared" si="106"/>
        <v>0</v>
      </c>
      <c r="FI53" s="16">
        <f t="shared" si="106"/>
        <v>0</v>
      </c>
      <c r="FJ53" s="16">
        <f t="shared" si="106"/>
        <v>0</v>
      </c>
      <c r="FK53" s="16">
        <f t="shared" si="106"/>
        <v>0</v>
      </c>
      <c r="FL53" s="16">
        <f t="shared" si="106"/>
        <v>0</v>
      </c>
      <c r="FM53" s="16">
        <f t="shared" si="106"/>
        <v>0</v>
      </c>
      <c r="FN53" s="16">
        <f t="shared" si="106"/>
        <v>0</v>
      </c>
      <c r="FO53" s="16">
        <f t="shared" si="106"/>
        <v>0</v>
      </c>
      <c r="FP53" s="16">
        <f t="shared" si="106"/>
        <v>0</v>
      </c>
      <c r="FQ53" s="16">
        <f t="shared" si="106"/>
        <v>0</v>
      </c>
      <c r="FR53" s="16">
        <f t="shared" si="106"/>
        <v>0</v>
      </c>
      <c r="FS53" s="16">
        <f t="shared" si="106"/>
        <v>0</v>
      </c>
      <c r="FT53" s="16">
        <f t="shared" si="106"/>
        <v>0</v>
      </c>
      <c r="FU53" s="16">
        <f t="shared" si="106"/>
        <v>0</v>
      </c>
      <c r="FV53" s="16">
        <f t="shared" si="106"/>
        <v>0</v>
      </c>
      <c r="FW53" s="16">
        <f t="shared" si="106"/>
        <v>0</v>
      </c>
      <c r="FX53" s="16">
        <f t="shared" si="106"/>
        <v>0</v>
      </c>
      <c r="FY53" s="16">
        <f t="shared" si="106"/>
        <v>0</v>
      </c>
      <c r="FZ53" s="16">
        <f t="shared" si="106"/>
        <v>0</v>
      </c>
      <c r="GA53" s="16">
        <f t="shared" si="106"/>
        <v>0</v>
      </c>
      <c r="GB53" s="16">
        <f t="shared" si="106"/>
        <v>0</v>
      </c>
      <c r="GC53" s="16">
        <f t="shared" si="106"/>
        <v>0</v>
      </c>
      <c r="GD53" s="16">
        <f t="shared" si="106"/>
        <v>0</v>
      </c>
      <c r="GE53" s="16">
        <f t="shared" si="106"/>
        <v>0</v>
      </c>
      <c r="GF53" s="16">
        <f t="shared" si="106"/>
        <v>0</v>
      </c>
      <c r="GG53" s="16">
        <f t="shared" si="106"/>
        <v>0</v>
      </c>
      <c r="GH53" s="16">
        <f t="shared" si="106"/>
        <v>0</v>
      </c>
      <c r="GI53" s="16">
        <f t="shared" si="106"/>
        <v>0</v>
      </c>
      <c r="GJ53" s="16">
        <f t="shared" si="106"/>
        <v>0</v>
      </c>
      <c r="GK53" s="16">
        <f t="shared" si="106"/>
        <v>0</v>
      </c>
      <c r="GL53" s="16">
        <f t="shared" si="106"/>
        <v>0</v>
      </c>
      <c r="GM53" s="16">
        <f t="shared" si="106"/>
        <v>0</v>
      </c>
      <c r="GN53" s="16">
        <f t="shared" si="106"/>
        <v>0</v>
      </c>
      <c r="GO53" s="16">
        <f t="shared" si="106"/>
        <v>0</v>
      </c>
    </row>
    <row r="54" spans="1:256" s="9" customFormat="1" ht="15">
      <c r="A54" s="4" t="s">
        <v>237</v>
      </c>
      <c r="B54" s="4">
        <v>28</v>
      </c>
      <c r="C54" s="12" t="s">
        <v>216</v>
      </c>
      <c r="F54" s="19">
        <v>20.9</v>
      </c>
      <c r="O54" s="19">
        <v>105.1</v>
      </c>
      <c r="R54" s="19">
        <v>50</v>
      </c>
      <c r="X54" s="19">
        <v>50.4</v>
      </c>
      <c r="AD54" s="19">
        <v>20</v>
      </c>
      <c r="AE54" s="19">
        <v>30</v>
      </c>
      <c r="AF54" s="19">
        <v>40</v>
      </c>
      <c r="AG54" s="19">
        <v>20</v>
      </c>
      <c r="AJ54" s="19">
        <v>20</v>
      </c>
      <c r="AP54" s="19">
        <v>180</v>
      </c>
      <c r="AR54" s="19">
        <v>30</v>
      </c>
      <c r="AZ54" s="30">
        <v>30</v>
      </c>
      <c r="BP54" s="19">
        <v>90</v>
      </c>
      <c r="BT54" s="31"/>
      <c r="BU54" s="31"/>
      <c r="BV54" s="31"/>
      <c r="BW54" s="30">
        <v>40</v>
      </c>
      <c r="BX54" s="30">
        <v>21.2</v>
      </c>
      <c r="CF54" s="30">
        <v>30</v>
      </c>
      <c r="CG54" s="30">
        <v>30</v>
      </c>
      <c r="CH54" s="30">
        <v>35</v>
      </c>
      <c r="CP54" s="19">
        <v>75.8</v>
      </c>
      <c r="CZ54" s="30">
        <v>40</v>
      </c>
      <c r="DB54" s="30">
        <v>25</v>
      </c>
      <c r="DD54" s="30">
        <v>25</v>
      </c>
      <c r="DE54" s="30">
        <v>25</v>
      </c>
      <c r="DF54" s="30">
        <v>25</v>
      </c>
      <c r="DP54" s="19">
        <v>100</v>
      </c>
      <c r="DQ54" s="29"/>
      <c r="DR54" s="29"/>
      <c r="DS54" s="29"/>
      <c r="DT54" s="29"/>
      <c r="EB54" s="30">
        <v>30</v>
      </c>
      <c r="EC54" s="30">
        <v>20</v>
      </c>
      <c r="ED54" s="30">
        <v>30</v>
      </c>
      <c r="EE54" s="30">
        <v>10</v>
      </c>
      <c r="EP54" s="19">
        <v>70</v>
      </c>
      <c r="ET54" s="30">
        <v>25</v>
      </c>
      <c r="EU54" s="30">
        <v>25</v>
      </c>
      <c r="EV54" s="30">
        <v>25</v>
      </c>
      <c r="FR54" s="9">
        <v>250</v>
      </c>
      <c r="GA54" s="9">
        <v>30</v>
      </c>
      <c r="GB54" s="9">
        <v>30</v>
      </c>
      <c r="GD54" s="9">
        <v>30</v>
      </c>
      <c r="GE54" s="9">
        <v>30</v>
      </c>
      <c r="GF54" s="9">
        <v>30</v>
      </c>
      <c r="GG54" s="9">
        <v>29.4</v>
      </c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197" s="42" customFormat="1" ht="15">
      <c r="A55" s="28"/>
      <c r="B55" s="28"/>
      <c r="C55" s="24" t="s">
        <v>217</v>
      </c>
      <c r="D55" s="25">
        <v>68</v>
      </c>
      <c r="E55" s="25">
        <f>D56</f>
        <v>68</v>
      </c>
      <c r="F55" s="25">
        <f aca="true" t="shared" si="107" ref="F55:BQ55">E56</f>
        <v>68</v>
      </c>
      <c r="G55" s="25">
        <f t="shared" si="107"/>
        <v>47.1</v>
      </c>
      <c r="H55" s="25">
        <f t="shared" si="107"/>
        <v>47.1</v>
      </c>
      <c r="I55" s="25">
        <f t="shared" si="107"/>
        <v>47.1</v>
      </c>
      <c r="J55" s="25">
        <f t="shared" si="107"/>
        <v>47.1</v>
      </c>
      <c r="K55" s="25">
        <f t="shared" si="107"/>
        <v>47.1</v>
      </c>
      <c r="L55" s="25">
        <f t="shared" si="107"/>
        <v>47.1</v>
      </c>
      <c r="M55" s="25">
        <f>L56+4.7+108.5</f>
        <v>160.3</v>
      </c>
      <c r="N55" s="25">
        <f t="shared" si="107"/>
        <v>160.3</v>
      </c>
      <c r="O55" s="37">
        <f t="shared" si="107"/>
        <v>160.3</v>
      </c>
      <c r="P55" s="25">
        <f t="shared" si="107"/>
        <v>55.20000000000002</v>
      </c>
      <c r="Q55" s="25">
        <f t="shared" si="107"/>
        <v>55.20000000000002</v>
      </c>
      <c r="R55" s="25">
        <f t="shared" si="107"/>
        <v>55.20000000000002</v>
      </c>
      <c r="S55" s="25">
        <f t="shared" si="107"/>
        <v>5.200000000000017</v>
      </c>
      <c r="T55" s="25">
        <f t="shared" si="107"/>
        <v>5.200000000000017</v>
      </c>
      <c r="U55" s="25">
        <f t="shared" si="107"/>
        <v>5.200000000000017</v>
      </c>
      <c r="V55" s="25">
        <f t="shared" si="107"/>
        <v>5.200000000000017</v>
      </c>
      <c r="W55" s="25">
        <f t="shared" si="107"/>
        <v>5.200000000000017</v>
      </c>
      <c r="X55" s="37">
        <f t="shared" si="107"/>
        <v>5.200000000000017</v>
      </c>
      <c r="Y55" s="25">
        <f t="shared" si="107"/>
        <v>-45.19999999999998</v>
      </c>
      <c r="Z55" s="25">
        <f t="shared" si="107"/>
        <v>-45.19999999999998</v>
      </c>
      <c r="AA55" s="25">
        <f>Z56+12.2+156.2</f>
        <v>123.2</v>
      </c>
      <c r="AB55" s="25">
        <f t="shared" si="107"/>
        <v>123.2</v>
      </c>
      <c r="AC55" s="25">
        <f t="shared" si="107"/>
        <v>123.2</v>
      </c>
      <c r="AD55" s="37">
        <f t="shared" si="107"/>
        <v>123.2</v>
      </c>
      <c r="AE55" s="37">
        <f t="shared" si="107"/>
        <v>103.2</v>
      </c>
      <c r="AF55" s="25">
        <f t="shared" si="107"/>
        <v>73.2</v>
      </c>
      <c r="AG55" s="25">
        <f t="shared" si="107"/>
        <v>33.2</v>
      </c>
      <c r="AH55" s="25">
        <f t="shared" si="107"/>
        <v>13.200000000000003</v>
      </c>
      <c r="AI55" s="25">
        <f t="shared" si="107"/>
        <v>13.200000000000003</v>
      </c>
      <c r="AJ55" s="25">
        <f>AI56</f>
        <v>13.200000000000003</v>
      </c>
      <c r="AK55" s="25">
        <f t="shared" si="107"/>
        <v>-6.799999999999997</v>
      </c>
      <c r="AL55" s="25">
        <f>AK56+191.8+7.3</f>
        <v>192.3</v>
      </c>
      <c r="AM55" s="25">
        <f t="shared" si="107"/>
        <v>192.3</v>
      </c>
      <c r="AN55" s="25">
        <f t="shared" si="107"/>
        <v>192.3</v>
      </c>
      <c r="AO55" s="25">
        <f t="shared" si="107"/>
        <v>192.3</v>
      </c>
      <c r="AP55" s="25">
        <f t="shared" si="107"/>
        <v>192.3</v>
      </c>
      <c r="AQ55" s="25">
        <f t="shared" si="107"/>
        <v>12.300000000000011</v>
      </c>
      <c r="AR55" s="25">
        <f t="shared" si="107"/>
        <v>12.300000000000011</v>
      </c>
      <c r="AS55" s="25">
        <f t="shared" si="107"/>
        <v>-17.69999999999999</v>
      </c>
      <c r="AT55" s="25">
        <f t="shared" si="107"/>
        <v>-17.69999999999999</v>
      </c>
      <c r="AU55" s="25">
        <f t="shared" si="107"/>
        <v>-17.69999999999999</v>
      </c>
      <c r="AV55" s="25">
        <f t="shared" si="107"/>
        <v>-17.69999999999999</v>
      </c>
      <c r="AW55" s="25">
        <f t="shared" si="107"/>
        <v>-17.69999999999999</v>
      </c>
      <c r="AX55" s="25">
        <f t="shared" si="107"/>
        <v>-17.69999999999999</v>
      </c>
      <c r="AY55" s="25">
        <f t="shared" si="107"/>
        <v>-17.69999999999999</v>
      </c>
      <c r="AZ55" s="25">
        <f t="shared" si="107"/>
        <v>-17.69999999999999</v>
      </c>
      <c r="BA55" s="25">
        <f t="shared" si="107"/>
        <v>-47.69999999999999</v>
      </c>
      <c r="BB55" s="25">
        <f t="shared" si="107"/>
        <v>-47.69999999999999</v>
      </c>
      <c r="BC55" s="25">
        <f t="shared" si="107"/>
        <v>-47.69999999999999</v>
      </c>
      <c r="BD55" s="25">
        <f t="shared" si="107"/>
        <v>-47.69999999999999</v>
      </c>
      <c r="BE55" s="25">
        <f t="shared" si="107"/>
        <v>-47.69999999999999</v>
      </c>
      <c r="BF55" s="25">
        <f t="shared" si="107"/>
        <v>-47.69999999999999</v>
      </c>
      <c r="BG55" s="25">
        <f t="shared" si="107"/>
        <v>-47.69999999999999</v>
      </c>
      <c r="BH55" s="25">
        <f t="shared" si="107"/>
        <v>-47.69999999999999</v>
      </c>
      <c r="BI55" s="25">
        <f t="shared" si="107"/>
        <v>-47.69999999999999</v>
      </c>
      <c r="BJ55" s="25">
        <f>BI56+4.3+137.2</f>
        <v>93.8</v>
      </c>
      <c r="BK55" s="25">
        <f t="shared" si="107"/>
        <v>93.8</v>
      </c>
      <c r="BL55" s="25">
        <f t="shared" si="107"/>
        <v>93.8</v>
      </c>
      <c r="BM55" s="25">
        <f t="shared" si="107"/>
        <v>93.8</v>
      </c>
      <c r="BN55" s="25">
        <f t="shared" si="107"/>
        <v>93.8</v>
      </c>
      <c r="BO55" s="25">
        <f t="shared" si="107"/>
        <v>93.8</v>
      </c>
      <c r="BP55" s="25">
        <f t="shared" si="107"/>
        <v>93.8</v>
      </c>
      <c r="BQ55" s="25">
        <f t="shared" si="107"/>
        <v>3.799999999999997</v>
      </c>
      <c r="BR55" s="25">
        <f aca="true" t="shared" si="108" ref="BR55:EC55">BQ56</f>
        <v>3.799999999999997</v>
      </c>
      <c r="BS55" s="25">
        <f t="shared" si="108"/>
        <v>3.799999999999997</v>
      </c>
      <c r="BT55" s="40">
        <f t="shared" si="108"/>
        <v>3.799999999999997</v>
      </c>
      <c r="BU55" s="40">
        <f t="shared" si="108"/>
        <v>3.799999999999997</v>
      </c>
      <c r="BV55" s="40">
        <f t="shared" si="108"/>
        <v>3.799999999999997</v>
      </c>
      <c r="BW55" s="25">
        <f>BV56-1.7</f>
        <v>2.099999999999997</v>
      </c>
      <c r="BX55" s="25">
        <f t="shared" si="108"/>
        <v>-37.900000000000006</v>
      </c>
      <c r="BY55" s="25">
        <f t="shared" si="108"/>
        <v>-59.10000000000001</v>
      </c>
      <c r="BZ55" s="25">
        <f t="shared" si="108"/>
        <v>-59.10000000000001</v>
      </c>
      <c r="CA55" s="25">
        <f>BZ56+208.7</f>
        <v>149.59999999999997</v>
      </c>
      <c r="CB55" s="25">
        <f t="shared" si="108"/>
        <v>149.59999999999997</v>
      </c>
      <c r="CC55" s="25">
        <f t="shared" si="108"/>
        <v>149.59999999999997</v>
      </c>
      <c r="CD55" s="25">
        <f t="shared" si="108"/>
        <v>149.59999999999997</v>
      </c>
      <c r="CE55" s="25">
        <f t="shared" si="108"/>
        <v>149.59999999999997</v>
      </c>
      <c r="CF55" s="25">
        <f t="shared" si="108"/>
        <v>149.59999999999997</v>
      </c>
      <c r="CG55" s="25">
        <f t="shared" si="108"/>
        <v>119.59999999999997</v>
      </c>
      <c r="CH55" s="25">
        <f t="shared" si="108"/>
        <v>89.59999999999997</v>
      </c>
      <c r="CI55" s="25">
        <f t="shared" si="108"/>
        <v>54.599999999999966</v>
      </c>
      <c r="CJ55" s="25">
        <f t="shared" si="108"/>
        <v>54.599999999999966</v>
      </c>
      <c r="CK55" s="25">
        <f t="shared" si="108"/>
        <v>54.599999999999966</v>
      </c>
      <c r="CL55" s="25">
        <f t="shared" si="108"/>
        <v>54.599999999999966</v>
      </c>
      <c r="CM55" s="25">
        <f t="shared" si="108"/>
        <v>54.599999999999966</v>
      </c>
      <c r="CN55" s="25">
        <f t="shared" si="108"/>
        <v>54.599999999999966</v>
      </c>
      <c r="CO55" s="25">
        <f t="shared" si="108"/>
        <v>54.599999999999966</v>
      </c>
      <c r="CP55" s="25">
        <f t="shared" si="108"/>
        <v>54.599999999999966</v>
      </c>
      <c r="CQ55" s="25">
        <f t="shared" si="108"/>
        <v>-21.20000000000003</v>
      </c>
      <c r="CR55" s="25">
        <f t="shared" si="108"/>
        <v>-21.20000000000003</v>
      </c>
      <c r="CS55" s="25">
        <f t="shared" si="108"/>
        <v>-21.20000000000003</v>
      </c>
      <c r="CT55" s="25">
        <f t="shared" si="108"/>
        <v>-21.20000000000003</v>
      </c>
      <c r="CU55" s="25">
        <f t="shared" si="108"/>
        <v>-21.20000000000003</v>
      </c>
      <c r="CV55" s="25">
        <f t="shared" si="108"/>
        <v>-21.20000000000003</v>
      </c>
      <c r="CW55" s="25">
        <f t="shared" si="108"/>
        <v>-21.20000000000003</v>
      </c>
      <c r="CX55" s="25">
        <f>CW56+172</f>
        <v>150.79999999999995</v>
      </c>
      <c r="CY55" s="25">
        <f t="shared" si="108"/>
        <v>150.79999999999995</v>
      </c>
      <c r="CZ55" s="25">
        <f t="shared" si="108"/>
        <v>150.79999999999995</v>
      </c>
      <c r="DA55" s="25">
        <f t="shared" si="108"/>
        <v>110.79999999999995</v>
      </c>
      <c r="DB55" s="25">
        <f t="shared" si="108"/>
        <v>110.79999999999995</v>
      </c>
      <c r="DC55" s="25">
        <f t="shared" si="108"/>
        <v>85.79999999999995</v>
      </c>
      <c r="DD55" s="25">
        <f t="shared" si="108"/>
        <v>85.79999999999995</v>
      </c>
      <c r="DE55" s="25">
        <f t="shared" si="108"/>
        <v>60.799999999999955</v>
      </c>
      <c r="DF55" s="25">
        <f t="shared" si="108"/>
        <v>35.799999999999955</v>
      </c>
      <c r="DG55" s="25">
        <f t="shared" si="108"/>
        <v>10.799999999999955</v>
      </c>
      <c r="DH55" s="25">
        <f t="shared" si="108"/>
        <v>10.799999999999955</v>
      </c>
      <c r="DI55" s="25">
        <f t="shared" si="108"/>
        <v>10.799999999999955</v>
      </c>
      <c r="DJ55" s="25">
        <f t="shared" si="108"/>
        <v>10.799999999999955</v>
      </c>
      <c r="DK55" s="25">
        <f>DJ56+112.1</f>
        <v>122.89999999999995</v>
      </c>
      <c r="DL55" s="25">
        <f t="shared" si="108"/>
        <v>122.89999999999995</v>
      </c>
      <c r="DM55" s="25">
        <f t="shared" si="108"/>
        <v>122.89999999999995</v>
      </c>
      <c r="DN55" s="25">
        <f t="shared" si="108"/>
        <v>122.89999999999995</v>
      </c>
      <c r="DO55" s="25">
        <f t="shared" si="108"/>
        <v>122.89999999999995</v>
      </c>
      <c r="DP55" s="37">
        <f t="shared" si="108"/>
        <v>122.89999999999995</v>
      </c>
      <c r="DQ55" s="37">
        <f t="shared" si="108"/>
        <v>22.89999999999995</v>
      </c>
      <c r="DR55" s="37">
        <f t="shared" si="108"/>
        <v>22.89999999999995</v>
      </c>
      <c r="DS55" s="37">
        <f t="shared" si="108"/>
        <v>22.89999999999995</v>
      </c>
      <c r="DT55" s="37">
        <f t="shared" si="108"/>
        <v>22.89999999999995</v>
      </c>
      <c r="DU55" s="25">
        <f t="shared" si="108"/>
        <v>22.89999999999995</v>
      </c>
      <c r="DV55" s="25">
        <f t="shared" si="108"/>
        <v>22.89999999999995</v>
      </c>
      <c r="DW55" s="25">
        <f t="shared" si="108"/>
        <v>22.89999999999995</v>
      </c>
      <c r="DX55" s="25">
        <f t="shared" si="108"/>
        <v>22.89999999999995</v>
      </c>
      <c r="DY55" s="25">
        <f>DX56+167.6</f>
        <v>190.49999999999994</v>
      </c>
      <c r="DZ55" s="25">
        <f t="shared" si="108"/>
        <v>190.49999999999994</v>
      </c>
      <c r="EA55" s="25">
        <f t="shared" si="108"/>
        <v>190.49999999999994</v>
      </c>
      <c r="EB55" s="25">
        <f t="shared" si="108"/>
        <v>190.49999999999994</v>
      </c>
      <c r="EC55" s="25">
        <f t="shared" si="108"/>
        <v>160.49999999999994</v>
      </c>
      <c r="ED55" s="25">
        <f aca="true" t="shared" si="109" ref="ED55:GO55">EC56</f>
        <v>140.49999999999994</v>
      </c>
      <c r="EE55" s="25">
        <f>ED56</f>
        <v>110.49999999999994</v>
      </c>
      <c r="EF55" s="25">
        <f>EE56-26.7</f>
        <v>73.79999999999994</v>
      </c>
      <c r="EG55" s="25">
        <f t="shared" si="109"/>
        <v>73.79999999999994</v>
      </c>
      <c r="EH55" s="25">
        <f t="shared" si="109"/>
        <v>73.79999999999994</v>
      </c>
      <c r="EI55" s="25">
        <f t="shared" si="109"/>
        <v>73.79999999999994</v>
      </c>
      <c r="EJ55" s="25">
        <f t="shared" si="109"/>
        <v>73.79999999999994</v>
      </c>
      <c r="EK55" s="25">
        <f t="shared" si="109"/>
        <v>73.79999999999994</v>
      </c>
      <c r="EL55" s="25">
        <f t="shared" si="109"/>
        <v>73.79999999999994</v>
      </c>
      <c r="EM55" s="25">
        <f t="shared" si="109"/>
        <v>73.79999999999994</v>
      </c>
      <c r="EN55" s="25">
        <f t="shared" si="109"/>
        <v>73.79999999999994</v>
      </c>
      <c r="EO55" s="25">
        <f t="shared" si="109"/>
        <v>73.79999999999994</v>
      </c>
      <c r="EP55" s="25">
        <f t="shared" si="109"/>
        <v>73.79999999999994</v>
      </c>
      <c r="EQ55" s="25">
        <f>EP56+123</f>
        <v>126.79999999999994</v>
      </c>
      <c r="ER55" s="25">
        <f>EQ56</f>
        <v>126.79999999999994</v>
      </c>
      <c r="ES55" s="25">
        <f>ER56</f>
        <v>126.79999999999994</v>
      </c>
      <c r="ET55" s="25">
        <f>ES56</f>
        <v>126.79999999999994</v>
      </c>
      <c r="EU55" s="25">
        <f t="shared" si="109"/>
        <v>101.79999999999994</v>
      </c>
      <c r="EV55" s="25">
        <f t="shared" si="109"/>
        <v>76.79999999999994</v>
      </c>
      <c r="EW55" s="25">
        <f t="shared" si="109"/>
        <v>51.79999999999994</v>
      </c>
      <c r="EX55" s="25">
        <f t="shared" si="109"/>
        <v>51.79999999999994</v>
      </c>
      <c r="EY55" s="25">
        <f t="shared" si="109"/>
        <v>51.79999999999994</v>
      </c>
      <c r="EZ55" s="25">
        <f t="shared" si="109"/>
        <v>51.79999999999994</v>
      </c>
      <c r="FA55" s="25">
        <f t="shared" si="109"/>
        <v>51.79999999999994</v>
      </c>
      <c r="FB55" s="25">
        <f t="shared" si="109"/>
        <v>51.79999999999994</v>
      </c>
      <c r="FC55" s="25">
        <f t="shared" si="109"/>
        <v>51.79999999999994</v>
      </c>
      <c r="FD55" s="25">
        <f t="shared" si="109"/>
        <v>51.79999999999994</v>
      </c>
      <c r="FE55" s="25">
        <f t="shared" si="109"/>
        <v>51.79999999999994</v>
      </c>
      <c r="FF55" s="25">
        <f t="shared" si="109"/>
        <v>51.79999999999994</v>
      </c>
      <c r="FG55" s="25">
        <f t="shared" si="109"/>
        <v>51.79999999999994</v>
      </c>
      <c r="FH55" s="25">
        <f>FG56+241.5+9.1</f>
        <v>302.4</v>
      </c>
      <c r="FI55" s="25">
        <f t="shared" si="109"/>
        <v>302.4</v>
      </c>
      <c r="FJ55" s="25">
        <f t="shared" si="109"/>
        <v>302.4</v>
      </c>
      <c r="FK55" s="25">
        <f t="shared" si="109"/>
        <v>302.4</v>
      </c>
      <c r="FL55" s="25">
        <f t="shared" si="109"/>
        <v>302.4</v>
      </c>
      <c r="FM55" s="25">
        <f t="shared" si="109"/>
        <v>302.4</v>
      </c>
      <c r="FN55" s="25">
        <f t="shared" si="109"/>
        <v>302.4</v>
      </c>
      <c r="FO55" s="25">
        <f t="shared" si="109"/>
        <v>302.4</v>
      </c>
      <c r="FP55" s="25">
        <f t="shared" si="109"/>
        <v>302.4</v>
      </c>
      <c r="FQ55" s="25">
        <f t="shared" si="109"/>
        <v>302.4</v>
      </c>
      <c r="FR55" s="25">
        <f t="shared" si="109"/>
        <v>302.4</v>
      </c>
      <c r="FS55" s="25">
        <f t="shared" si="109"/>
        <v>52.39999999999998</v>
      </c>
      <c r="FT55" s="25">
        <f t="shared" si="109"/>
        <v>52.39999999999998</v>
      </c>
      <c r="FU55" s="25">
        <f t="shared" si="109"/>
        <v>52.39999999999998</v>
      </c>
      <c r="FV55" s="25">
        <f t="shared" si="109"/>
        <v>52.39999999999998</v>
      </c>
      <c r="FW55" s="25">
        <f t="shared" si="109"/>
        <v>52.39999999999998</v>
      </c>
      <c r="FX55" s="25">
        <f t="shared" si="109"/>
        <v>52.39999999999998</v>
      </c>
      <c r="FY55" s="25">
        <f>FX56+127</f>
        <v>179.39999999999998</v>
      </c>
      <c r="FZ55" s="25">
        <f t="shared" si="109"/>
        <v>179.39999999999998</v>
      </c>
      <c r="GA55" s="25">
        <f t="shared" si="109"/>
        <v>179.39999999999998</v>
      </c>
      <c r="GB55" s="25">
        <f t="shared" si="109"/>
        <v>149.39999999999998</v>
      </c>
      <c r="GC55" s="25">
        <f t="shared" si="109"/>
        <v>119.39999999999998</v>
      </c>
      <c r="GD55" s="25">
        <f t="shared" si="109"/>
        <v>119.39999999999998</v>
      </c>
      <c r="GE55" s="25">
        <f t="shared" si="109"/>
        <v>89.39999999999998</v>
      </c>
      <c r="GF55" s="25">
        <f t="shared" si="109"/>
        <v>59.39999999999998</v>
      </c>
      <c r="GG55" s="25">
        <f t="shared" si="109"/>
        <v>29.399999999999977</v>
      </c>
      <c r="GH55" s="25">
        <f t="shared" si="109"/>
        <v>0</v>
      </c>
      <c r="GI55" s="25">
        <f t="shared" si="109"/>
        <v>0</v>
      </c>
      <c r="GJ55" s="25">
        <f t="shared" si="109"/>
        <v>0</v>
      </c>
      <c r="GK55" s="25">
        <f t="shared" si="109"/>
        <v>0</v>
      </c>
      <c r="GL55" s="25">
        <f t="shared" si="109"/>
        <v>0</v>
      </c>
      <c r="GM55" s="25">
        <f t="shared" si="109"/>
        <v>0</v>
      </c>
      <c r="GN55" s="25">
        <f t="shared" si="109"/>
        <v>0</v>
      </c>
      <c r="GO55" s="25">
        <f t="shared" si="109"/>
        <v>0</v>
      </c>
    </row>
    <row r="56" spans="1:197" s="42" customFormat="1" ht="15">
      <c r="A56" s="28"/>
      <c r="B56" s="28"/>
      <c r="C56" s="24" t="s">
        <v>218</v>
      </c>
      <c r="D56" s="43">
        <f>D55-D54</f>
        <v>68</v>
      </c>
      <c r="E56" s="43">
        <f>E55-E54</f>
        <v>68</v>
      </c>
      <c r="F56" s="43">
        <f aca="true" t="shared" si="110" ref="F56:BQ56">F55-F54</f>
        <v>47.1</v>
      </c>
      <c r="G56" s="43">
        <f t="shared" si="110"/>
        <v>47.1</v>
      </c>
      <c r="H56" s="43">
        <f t="shared" si="110"/>
        <v>47.1</v>
      </c>
      <c r="I56" s="43">
        <f t="shared" si="110"/>
        <v>47.1</v>
      </c>
      <c r="J56" s="43">
        <f t="shared" si="110"/>
        <v>47.1</v>
      </c>
      <c r="K56" s="43">
        <f t="shared" si="110"/>
        <v>47.1</v>
      </c>
      <c r="L56" s="43">
        <f t="shared" si="110"/>
        <v>47.1</v>
      </c>
      <c r="M56" s="43">
        <f t="shared" si="110"/>
        <v>160.3</v>
      </c>
      <c r="N56" s="43">
        <f t="shared" si="110"/>
        <v>160.3</v>
      </c>
      <c r="O56" s="44">
        <f t="shared" si="110"/>
        <v>55.20000000000002</v>
      </c>
      <c r="P56" s="43">
        <f t="shared" si="110"/>
        <v>55.20000000000002</v>
      </c>
      <c r="Q56" s="43">
        <f t="shared" si="110"/>
        <v>55.20000000000002</v>
      </c>
      <c r="R56" s="43">
        <f t="shared" si="110"/>
        <v>5.200000000000017</v>
      </c>
      <c r="S56" s="43">
        <f t="shared" si="110"/>
        <v>5.200000000000017</v>
      </c>
      <c r="T56" s="43">
        <f t="shared" si="110"/>
        <v>5.200000000000017</v>
      </c>
      <c r="U56" s="43">
        <f t="shared" si="110"/>
        <v>5.200000000000017</v>
      </c>
      <c r="V56" s="43">
        <f t="shared" si="110"/>
        <v>5.200000000000017</v>
      </c>
      <c r="W56" s="43">
        <f t="shared" si="110"/>
        <v>5.200000000000017</v>
      </c>
      <c r="X56" s="44">
        <f t="shared" si="110"/>
        <v>-45.19999999999998</v>
      </c>
      <c r="Y56" s="43">
        <f t="shared" si="110"/>
        <v>-45.19999999999998</v>
      </c>
      <c r="Z56" s="43">
        <f t="shared" si="110"/>
        <v>-45.19999999999998</v>
      </c>
      <c r="AA56" s="43">
        <f t="shared" si="110"/>
        <v>123.2</v>
      </c>
      <c r="AB56" s="43">
        <f t="shared" si="110"/>
        <v>123.2</v>
      </c>
      <c r="AC56" s="43">
        <f t="shared" si="110"/>
        <v>123.2</v>
      </c>
      <c r="AD56" s="44">
        <f t="shared" si="110"/>
        <v>103.2</v>
      </c>
      <c r="AE56" s="44">
        <f t="shared" si="110"/>
        <v>73.2</v>
      </c>
      <c r="AF56" s="43">
        <f t="shared" si="110"/>
        <v>33.2</v>
      </c>
      <c r="AG56" s="43">
        <f t="shared" si="110"/>
        <v>13.200000000000003</v>
      </c>
      <c r="AH56" s="43">
        <f t="shared" si="110"/>
        <v>13.200000000000003</v>
      </c>
      <c r="AI56" s="43">
        <f t="shared" si="110"/>
        <v>13.200000000000003</v>
      </c>
      <c r="AJ56" s="43">
        <f t="shared" si="110"/>
        <v>-6.799999999999997</v>
      </c>
      <c r="AK56" s="43">
        <f t="shared" si="110"/>
        <v>-6.799999999999997</v>
      </c>
      <c r="AL56" s="43">
        <f t="shared" si="110"/>
        <v>192.3</v>
      </c>
      <c r="AM56" s="43">
        <f t="shared" si="110"/>
        <v>192.3</v>
      </c>
      <c r="AN56" s="43">
        <f t="shared" si="110"/>
        <v>192.3</v>
      </c>
      <c r="AO56" s="43">
        <f t="shared" si="110"/>
        <v>192.3</v>
      </c>
      <c r="AP56" s="43">
        <f t="shared" si="110"/>
        <v>12.300000000000011</v>
      </c>
      <c r="AQ56" s="43">
        <f t="shared" si="110"/>
        <v>12.300000000000011</v>
      </c>
      <c r="AR56" s="43">
        <f t="shared" si="110"/>
        <v>-17.69999999999999</v>
      </c>
      <c r="AS56" s="43">
        <f t="shared" si="110"/>
        <v>-17.69999999999999</v>
      </c>
      <c r="AT56" s="43">
        <f t="shared" si="110"/>
        <v>-17.69999999999999</v>
      </c>
      <c r="AU56" s="43">
        <f t="shared" si="110"/>
        <v>-17.69999999999999</v>
      </c>
      <c r="AV56" s="43">
        <f t="shared" si="110"/>
        <v>-17.69999999999999</v>
      </c>
      <c r="AW56" s="43">
        <f t="shared" si="110"/>
        <v>-17.69999999999999</v>
      </c>
      <c r="AX56" s="43">
        <f t="shared" si="110"/>
        <v>-17.69999999999999</v>
      </c>
      <c r="AY56" s="43">
        <f t="shared" si="110"/>
        <v>-17.69999999999999</v>
      </c>
      <c r="AZ56" s="43">
        <f t="shared" si="110"/>
        <v>-47.69999999999999</v>
      </c>
      <c r="BA56" s="43">
        <f t="shared" si="110"/>
        <v>-47.69999999999999</v>
      </c>
      <c r="BB56" s="43">
        <f t="shared" si="110"/>
        <v>-47.69999999999999</v>
      </c>
      <c r="BC56" s="43">
        <f t="shared" si="110"/>
        <v>-47.69999999999999</v>
      </c>
      <c r="BD56" s="43">
        <f t="shared" si="110"/>
        <v>-47.69999999999999</v>
      </c>
      <c r="BE56" s="43">
        <f t="shared" si="110"/>
        <v>-47.69999999999999</v>
      </c>
      <c r="BF56" s="43">
        <f t="shared" si="110"/>
        <v>-47.69999999999999</v>
      </c>
      <c r="BG56" s="43">
        <f t="shared" si="110"/>
        <v>-47.69999999999999</v>
      </c>
      <c r="BH56" s="43">
        <f t="shared" si="110"/>
        <v>-47.69999999999999</v>
      </c>
      <c r="BI56" s="43">
        <f t="shared" si="110"/>
        <v>-47.69999999999999</v>
      </c>
      <c r="BJ56" s="43">
        <f t="shared" si="110"/>
        <v>93.8</v>
      </c>
      <c r="BK56" s="43">
        <f t="shared" si="110"/>
        <v>93.8</v>
      </c>
      <c r="BL56" s="43">
        <f t="shared" si="110"/>
        <v>93.8</v>
      </c>
      <c r="BM56" s="43">
        <f t="shared" si="110"/>
        <v>93.8</v>
      </c>
      <c r="BN56" s="43">
        <f t="shared" si="110"/>
        <v>93.8</v>
      </c>
      <c r="BO56" s="43">
        <f t="shared" si="110"/>
        <v>93.8</v>
      </c>
      <c r="BP56" s="43">
        <f t="shared" si="110"/>
        <v>3.799999999999997</v>
      </c>
      <c r="BQ56" s="43">
        <f t="shared" si="110"/>
        <v>3.799999999999997</v>
      </c>
      <c r="BR56" s="43">
        <f aca="true" t="shared" si="111" ref="BR56:EC56">BR55-BR54</f>
        <v>3.799999999999997</v>
      </c>
      <c r="BS56" s="43">
        <f t="shared" si="111"/>
        <v>3.799999999999997</v>
      </c>
      <c r="BT56" s="45">
        <f t="shared" si="111"/>
        <v>3.799999999999997</v>
      </c>
      <c r="BU56" s="45">
        <f t="shared" si="111"/>
        <v>3.799999999999997</v>
      </c>
      <c r="BV56" s="45">
        <f t="shared" si="111"/>
        <v>3.799999999999997</v>
      </c>
      <c r="BW56" s="43">
        <f t="shared" si="111"/>
        <v>-37.900000000000006</v>
      </c>
      <c r="BX56" s="43">
        <f t="shared" si="111"/>
        <v>-59.10000000000001</v>
      </c>
      <c r="BY56" s="43">
        <f t="shared" si="111"/>
        <v>-59.10000000000001</v>
      </c>
      <c r="BZ56" s="43">
        <f t="shared" si="111"/>
        <v>-59.10000000000001</v>
      </c>
      <c r="CA56" s="43">
        <f t="shared" si="111"/>
        <v>149.59999999999997</v>
      </c>
      <c r="CB56" s="43">
        <f t="shared" si="111"/>
        <v>149.59999999999997</v>
      </c>
      <c r="CC56" s="43">
        <f t="shared" si="111"/>
        <v>149.59999999999997</v>
      </c>
      <c r="CD56" s="43">
        <f t="shared" si="111"/>
        <v>149.59999999999997</v>
      </c>
      <c r="CE56" s="43">
        <f t="shared" si="111"/>
        <v>149.59999999999997</v>
      </c>
      <c r="CF56" s="43">
        <f t="shared" si="111"/>
        <v>119.59999999999997</v>
      </c>
      <c r="CG56" s="43">
        <f t="shared" si="111"/>
        <v>89.59999999999997</v>
      </c>
      <c r="CH56" s="43">
        <f t="shared" si="111"/>
        <v>54.599999999999966</v>
      </c>
      <c r="CI56" s="43">
        <f t="shared" si="111"/>
        <v>54.599999999999966</v>
      </c>
      <c r="CJ56" s="43">
        <f t="shared" si="111"/>
        <v>54.599999999999966</v>
      </c>
      <c r="CK56" s="43">
        <f t="shared" si="111"/>
        <v>54.599999999999966</v>
      </c>
      <c r="CL56" s="43">
        <f t="shared" si="111"/>
        <v>54.599999999999966</v>
      </c>
      <c r="CM56" s="43">
        <f t="shared" si="111"/>
        <v>54.599999999999966</v>
      </c>
      <c r="CN56" s="43">
        <f t="shared" si="111"/>
        <v>54.599999999999966</v>
      </c>
      <c r="CO56" s="43">
        <f t="shared" si="111"/>
        <v>54.599999999999966</v>
      </c>
      <c r="CP56" s="43">
        <f t="shared" si="111"/>
        <v>-21.20000000000003</v>
      </c>
      <c r="CQ56" s="43">
        <f t="shared" si="111"/>
        <v>-21.20000000000003</v>
      </c>
      <c r="CR56" s="43">
        <f t="shared" si="111"/>
        <v>-21.20000000000003</v>
      </c>
      <c r="CS56" s="43">
        <f t="shared" si="111"/>
        <v>-21.20000000000003</v>
      </c>
      <c r="CT56" s="43">
        <f t="shared" si="111"/>
        <v>-21.20000000000003</v>
      </c>
      <c r="CU56" s="43">
        <f t="shared" si="111"/>
        <v>-21.20000000000003</v>
      </c>
      <c r="CV56" s="43">
        <f t="shared" si="111"/>
        <v>-21.20000000000003</v>
      </c>
      <c r="CW56" s="43">
        <f t="shared" si="111"/>
        <v>-21.20000000000003</v>
      </c>
      <c r="CX56" s="43">
        <f t="shared" si="111"/>
        <v>150.79999999999995</v>
      </c>
      <c r="CY56" s="43">
        <f t="shared" si="111"/>
        <v>150.79999999999995</v>
      </c>
      <c r="CZ56" s="43">
        <f t="shared" si="111"/>
        <v>110.79999999999995</v>
      </c>
      <c r="DA56" s="43">
        <f t="shared" si="111"/>
        <v>110.79999999999995</v>
      </c>
      <c r="DB56" s="43">
        <f t="shared" si="111"/>
        <v>85.79999999999995</v>
      </c>
      <c r="DC56" s="43">
        <f t="shared" si="111"/>
        <v>85.79999999999995</v>
      </c>
      <c r="DD56" s="43">
        <f t="shared" si="111"/>
        <v>60.799999999999955</v>
      </c>
      <c r="DE56" s="43">
        <f t="shared" si="111"/>
        <v>35.799999999999955</v>
      </c>
      <c r="DF56" s="43">
        <f t="shared" si="111"/>
        <v>10.799999999999955</v>
      </c>
      <c r="DG56" s="43">
        <f t="shared" si="111"/>
        <v>10.799999999999955</v>
      </c>
      <c r="DH56" s="43">
        <f t="shared" si="111"/>
        <v>10.799999999999955</v>
      </c>
      <c r="DI56" s="43">
        <f t="shared" si="111"/>
        <v>10.799999999999955</v>
      </c>
      <c r="DJ56" s="43">
        <f t="shared" si="111"/>
        <v>10.799999999999955</v>
      </c>
      <c r="DK56" s="43">
        <f t="shared" si="111"/>
        <v>122.89999999999995</v>
      </c>
      <c r="DL56" s="43">
        <f t="shared" si="111"/>
        <v>122.89999999999995</v>
      </c>
      <c r="DM56" s="43">
        <f t="shared" si="111"/>
        <v>122.89999999999995</v>
      </c>
      <c r="DN56" s="43">
        <f t="shared" si="111"/>
        <v>122.89999999999995</v>
      </c>
      <c r="DO56" s="43">
        <f t="shared" si="111"/>
        <v>122.89999999999995</v>
      </c>
      <c r="DP56" s="44">
        <f t="shared" si="111"/>
        <v>22.89999999999995</v>
      </c>
      <c r="DQ56" s="44">
        <f t="shared" si="111"/>
        <v>22.89999999999995</v>
      </c>
      <c r="DR56" s="44">
        <f t="shared" si="111"/>
        <v>22.89999999999995</v>
      </c>
      <c r="DS56" s="44">
        <f t="shared" si="111"/>
        <v>22.89999999999995</v>
      </c>
      <c r="DT56" s="44">
        <f t="shared" si="111"/>
        <v>22.89999999999995</v>
      </c>
      <c r="DU56" s="43">
        <f t="shared" si="111"/>
        <v>22.89999999999995</v>
      </c>
      <c r="DV56" s="43">
        <f t="shared" si="111"/>
        <v>22.89999999999995</v>
      </c>
      <c r="DW56" s="43">
        <f t="shared" si="111"/>
        <v>22.89999999999995</v>
      </c>
      <c r="DX56" s="43">
        <f t="shared" si="111"/>
        <v>22.89999999999995</v>
      </c>
      <c r="DY56" s="43">
        <f t="shared" si="111"/>
        <v>190.49999999999994</v>
      </c>
      <c r="DZ56" s="43">
        <f t="shared" si="111"/>
        <v>190.49999999999994</v>
      </c>
      <c r="EA56" s="43">
        <f t="shared" si="111"/>
        <v>190.49999999999994</v>
      </c>
      <c r="EB56" s="43">
        <f t="shared" si="111"/>
        <v>160.49999999999994</v>
      </c>
      <c r="EC56" s="43">
        <f t="shared" si="111"/>
        <v>140.49999999999994</v>
      </c>
      <c r="ED56" s="43">
        <f aca="true" t="shared" si="112" ref="ED56:GO56">ED55-ED54</f>
        <v>110.49999999999994</v>
      </c>
      <c r="EE56" s="43">
        <f t="shared" si="112"/>
        <v>100.49999999999994</v>
      </c>
      <c r="EF56" s="43">
        <f t="shared" si="112"/>
        <v>73.79999999999994</v>
      </c>
      <c r="EG56" s="43">
        <f t="shared" si="112"/>
        <v>73.79999999999994</v>
      </c>
      <c r="EH56" s="43">
        <f t="shared" si="112"/>
        <v>73.79999999999994</v>
      </c>
      <c r="EI56" s="43">
        <f t="shared" si="112"/>
        <v>73.79999999999994</v>
      </c>
      <c r="EJ56" s="43">
        <f t="shared" si="112"/>
        <v>73.79999999999994</v>
      </c>
      <c r="EK56" s="43">
        <f t="shared" si="112"/>
        <v>73.79999999999994</v>
      </c>
      <c r="EL56" s="43">
        <f t="shared" si="112"/>
        <v>73.79999999999994</v>
      </c>
      <c r="EM56" s="43">
        <f t="shared" si="112"/>
        <v>73.79999999999994</v>
      </c>
      <c r="EN56" s="43">
        <f t="shared" si="112"/>
        <v>73.79999999999994</v>
      </c>
      <c r="EO56" s="43">
        <f t="shared" si="112"/>
        <v>73.79999999999994</v>
      </c>
      <c r="EP56" s="43">
        <f t="shared" si="112"/>
        <v>3.7999999999999403</v>
      </c>
      <c r="EQ56" s="43">
        <f t="shared" si="112"/>
        <v>126.79999999999994</v>
      </c>
      <c r="ER56" s="43">
        <f t="shared" si="112"/>
        <v>126.79999999999994</v>
      </c>
      <c r="ES56" s="43">
        <f t="shared" si="112"/>
        <v>126.79999999999994</v>
      </c>
      <c r="ET56" s="43">
        <f t="shared" si="112"/>
        <v>101.79999999999994</v>
      </c>
      <c r="EU56" s="43">
        <f t="shared" si="112"/>
        <v>76.79999999999994</v>
      </c>
      <c r="EV56" s="43">
        <f t="shared" si="112"/>
        <v>51.79999999999994</v>
      </c>
      <c r="EW56" s="43">
        <f t="shared" si="112"/>
        <v>51.79999999999994</v>
      </c>
      <c r="EX56" s="43">
        <f t="shared" si="112"/>
        <v>51.79999999999994</v>
      </c>
      <c r="EY56" s="43">
        <f t="shared" si="112"/>
        <v>51.79999999999994</v>
      </c>
      <c r="EZ56" s="43">
        <f t="shared" si="112"/>
        <v>51.79999999999994</v>
      </c>
      <c r="FA56" s="43">
        <f t="shared" si="112"/>
        <v>51.79999999999994</v>
      </c>
      <c r="FB56" s="43">
        <f t="shared" si="112"/>
        <v>51.79999999999994</v>
      </c>
      <c r="FC56" s="43">
        <f t="shared" si="112"/>
        <v>51.79999999999994</v>
      </c>
      <c r="FD56" s="43">
        <f t="shared" si="112"/>
        <v>51.79999999999994</v>
      </c>
      <c r="FE56" s="43">
        <f t="shared" si="112"/>
        <v>51.79999999999994</v>
      </c>
      <c r="FF56" s="43">
        <f t="shared" si="112"/>
        <v>51.79999999999994</v>
      </c>
      <c r="FG56" s="43">
        <f t="shared" si="112"/>
        <v>51.79999999999994</v>
      </c>
      <c r="FH56" s="43">
        <f t="shared" si="112"/>
        <v>302.4</v>
      </c>
      <c r="FI56" s="43">
        <f t="shared" si="112"/>
        <v>302.4</v>
      </c>
      <c r="FJ56" s="43">
        <f t="shared" si="112"/>
        <v>302.4</v>
      </c>
      <c r="FK56" s="43">
        <f t="shared" si="112"/>
        <v>302.4</v>
      </c>
      <c r="FL56" s="43">
        <f t="shared" si="112"/>
        <v>302.4</v>
      </c>
      <c r="FM56" s="43">
        <f t="shared" si="112"/>
        <v>302.4</v>
      </c>
      <c r="FN56" s="43">
        <f t="shared" si="112"/>
        <v>302.4</v>
      </c>
      <c r="FO56" s="43">
        <f t="shared" si="112"/>
        <v>302.4</v>
      </c>
      <c r="FP56" s="43">
        <f t="shared" si="112"/>
        <v>302.4</v>
      </c>
      <c r="FQ56" s="43">
        <f t="shared" si="112"/>
        <v>302.4</v>
      </c>
      <c r="FR56" s="43">
        <f t="shared" si="112"/>
        <v>52.39999999999998</v>
      </c>
      <c r="FS56" s="43">
        <f t="shared" si="112"/>
        <v>52.39999999999998</v>
      </c>
      <c r="FT56" s="43">
        <f t="shared" si="112"/>
        <v>52.39999999999998</v>
      </c>
      <c r="FU56" s="43">
        <f t="shared" si="112"/>
        <v>52.39999999999998</v>
      </c>
      <c r="FV56" s="43">
        <f t="shared" si="112"/>
        <v>52.39999999999998</v>
      </c>
      <c r="FW56" s="43">
        <f t="shared" si="112"/>
        <v>52.39999999999998</v>
      </c>
      <c r="FX56" s="43">
        <f t="shared" si="112"/>
        <v>52.39999999999998</v>
      </c>
      <c r="FY56" s="43">
        <f t="shared" si="112"/>
        <v>179.39999999999998</v>
      </c>
      <c r="FZ56" s="43">
        <f t="shared" si="112"/>
        <v>179.39999999999998</v>
      </c>
      <c r="GA56" s="43">
        <f t="shared" si="112"/>
        <v>149.39999999999998</v>
      </c>
      <c r="GB56" s="43">
        <f t="shared" si="112"/>
        <v>119.39999999999998</v>
      </c>
      <c r="GC56" s="43">
        <f t="shared" si="112"/>
        <v>119.39999999999998</v>
      </c>
      <c r="GD56" s="43">
        <f t="shared" si="112"/>
        <v>89.39999999999998</v>
      </c>
      <c r="GE56" s="43">
        <f t="shared" si="112"/>
        <v>59.39999999999998</v>
      </c>
      <c r="GF56" s="43">
        <f t="shared" si="112"/>
        <v>29.399999999999977</v>
      </c>
      <c r="GG56" s="43">
        <f t="shared" si="112"/>
        <v>0</v>
      </c>
      <c r="GH56" s="43">
        <f t="shared" si="112"/>
        <v>0</v>
      </c>
      <c r="GI56" s="43">
        <f t="shared" si="112"/>
        <v>0</v>
      </c>
      <c r="GJ56" s="43">
        <f t="shared" si="112"/>
        <v>0</v>
      </c>
      <c r="GK56" s="43">
        <f t="shared" si="112"/>
        <v>0</v>
      </c>
      <c r="GL56" s="43">
        <f t="shared" si="112"/>
        <v>0</v>
      </c>
      <c r="GM56" s="43">
        <f t="shared" si="112"/>
        <v>0</v>
      </c>
      <c r="GN56" s="43">
        <f t="shared" si="112"/>
        <v>0</v>
      </c>
      <c r="GO56" s="43">
        <f t="shared" si="112"/>
        <v>0</v>
      </c>
    </row>
    <row r="57" spans="1:256" s="9" customFormat="1" ht="15">
      <c r="A57" s="4" t="s">
        <v>238</v>
      </c>
      <c r="B57" s="4">
        <v>14</v>
      </c>
      <c r="C57" s="12" t="s">
        <v>216</v>
      </c>
      <c r="G57" s="19">
        <v>9.3</v>
      </c>
      <c r="O57" s="29"/>
      <c r="X57" s="29"/>
      <c r="AD57" s="29"/>
      <c r="AE57" s="29"/>
      <c r="AQ57" s="19">
        <v>13</v>
      </c>
      <c r="BR57" s="30">
        <v>10.7</v>
      </c>
      <c r="BT57" s="31"/>
      <c r="BU57" s="31"/>
      <c r="BV57" s="31"/>
      <c r="CP57" s="19">
        <v>16.5</v>
      </c>
      <c r="DP57" s="29"/>
      <c r="DQ57" s="29"/>
      <c r="DR57" s="29"/>
      <c r="DS57" s="29"/>
      <c r="DT57" s="29"/>
      <c r="DW57" s="30">
        <v>10.2</v>
      </c>
      <c r="EP57" s="19">
        <v>8</v>
      </c>
      <c r="FR57" s="9">
        <v>12.3</v>
      </c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197" ht="15">
      <c r="A58" s="4"/>
      <c r="B58" s="4"/>
      <c r="C58" s="12" t="s">
        <v>217</v>
      </c>
      <c r="D58" s="14">
        <v>9.3</v>
      </c>
      <c r="E58" s="14">
        <f>D59</f>
        <v>9.3</v>
      </c>
      <c r="F58" s="14">
        <f aca="true" t="shared" si="113" ref="F58:BQ58">E59</f>
        <v>9.3</v>
      </c>
      <c r="G58" s="14">
        <f t="shared" si="113"/>
        <v>9.3</v>
      </c>
      <c r="H58" s="14">
        <f t="shared" si="113"/>
        <v>0</v>
      </c>
      <c r="I58" s="14">
        <f t="shared" si="113"/>
        <v>0</v>
      </c>
      <c r="J58" s="14">
        <f t="shared" si="113"/>
        <v>0</v>
      </c>
      <c r="K58" s="14">
        <f t="shared" si="113"/>
        <v>0</v>
      </c>
      <c r="L58" s="14">
        <f t="shared" si="113"/>
        <v>0</v>
      </c>
      <c r="M58" s="14">
        <f t="shared" si="113"/>
        <v>0</v>
      </c>
      <c r="N58" s="14">
        <f t="shared" si="113"/>
        <v>0</v>
      </c>
      <c r="O58" s="15">
        <f t="shared" si="113"/>
        <v>0</v>
      </c>
      <c r="P58" s="14">
        <f t="shared" si="113"/>
        <v>0</v>
      </c>
      <c r="Q58" s="14">
        <f t="shared" si="113"/>
        <v>0</v>
      </c>
      <c r="R58" s="14">
        <f t="shared" si="113"/>
        <v>0</v>
      </c>
      <c r="S58" s="14">
        <f t="shared" si="113"/>
        <v>0</v>
      </c>
      <c r="T58" s="14">
        <f t="shared" si="113"/>
        <v>0</v>
      </c>
      <c r="U58" s="14">
        <f t="shared" si="113"/>
        <v>0</v>
      </c>
      <c r="V58" s="14">
        <f>U59+13</f>
        <v>13</v>
      </c>
      <c r="W58" s="14">
        <f t="shared" si="113"/>
        <v>13</v>
      </c>
      <c r="X58" s="15">
        <f t="shared" si="113"/>
        <v>13</v>
      </c>
      <c r="Y58" s="14">
        <f t="shared" si="113"/>
        <v>13</v>
      </c>
      <c r="Z58" s="14">
        <f t="shared" si="113"/>
        <v>13</v>
      </c>
      <c r="AA58" s="14">
        <f t="shared" si="113"/>
        <v>13</v>
      </c>
      <c r="AB58" s="14">
        <f t="shared" si="113"/>
        <v>13</v>
      </c>
      <c r="AC58" s="14">
        <f t="shared" si="113"/>
        <v>13</v>
      </c>
      <c r="AD58" s="15">
        <f t="shared" si="113"/>
        <v>13</v>
      </c>
      <c r="AE58" s="15">
        <f t="shared" si="113"/>
        <v>13</v>
      </c>
      <c r="AF58" s="14">
        <f t="shared" si="113"/>
        <v>13</v>
      </c>
      <c r="AG58" s="14">
        <f t="shared" si="113"/>
        <v>13</v>
      </c>
      <c r="AH58" s="14">
        <f t="shared" si="113"/>
        <v>13</v>
      </c>
      <c r="AI58" s="14">
        <f t="shared" si="113"/>
        <v>13</v>
      </c>
      <c r="AJ58" s="14">
        <f t="shared" si="113"/>
        <v>13</v>
      </c>
      <c r="AK58" s="14">
        <f t="shared" si="113"/>
        <v>13</v>
      </c>
      <c r="AL58" s="14">
        <f t="shared" si="113"/>
        <v>13</v>
      </c>
      <c r="AM58" s="14">
        <f t="shared" si="113"/>
        <v>13</v>
      </c>
      <c r="AN58" s="14">
        <f t="shared" si="113"/>
        <v>13</v>
      </c>
      <c r="AO58" s="14">
        <f t="shared" si="113"/>
        <v>13</v>
      </c>
      <c r="AP58" s="14">
        <f t="shared" si="113"/>
        <v>13</v>
      </c>
      <c r="AQ58" s="14">
        <f t="shared" si="113"/>
        <v>13</v>
      </c>
      <c r="AR58" s="14">
        <f t="shared" si="113"/>
        <v>0</v>
      </c>
      <c r="AS58" s="14">
        <f t="shared" si="113"/>
        <v>0</v>
      </c>
      <c r="AT58" s="14">
        <f t="shared" si="113"/>
        <v>0</v>
      </c>
      <c r="AU58" s="14">
        <f t="shared" si="113"/>
        <v>0</v>
      </c>
      <c r="AV58" s="14">
        <f t="shared" si="113"/>
        <v>0</v>
      </c>
      <c r="AW58" s="14">
        <f t="shared" si="113"/>
        <v>0</v>
      </c>
      <c r="AX58" s="14">
        <f t="shared" si="113"/>
        <v>0</v>
      </c>
      <c r="AY58" s="14">
        <f t="shared" si="113"/>
        <v>0</v>
      </c>
      <c r="AZ58" s="14">
        <f t="shared" si="113"/>
        <v>0</v>
      </c>
      <c r="BA58" s="14">
        <f t="shared" si="113"/>
        <v>0</v>
      </c>
      <c r="BB58" s="14">
        <f t="shared" si="113"/>
        <v>0</v>
      </c>
      <c r="BC58" s="14">
        <f t="shared" si="113"/>
        <v>0</v>
      </c>
      <c r="BD58" s="14">
        <f t="shared" si="113"/>
        <v>0</v>
      </c>
      <c r="BE58" s="14">
        <f t="shared" si="113"/>
        <v>0</v>
      </c>
      <c r="BF58" s="14">
        <f>BE59+10.7</f>
        <v>10.7</v>
      </c>
      <c r="BG58" s="14">
        <f t="shared" si="113"/>
        <v>10.7</v>
      </c>
      <c r="BH58" s="14">
        <f t="shared" si="113"/>
        <v>10.7</v>
      </c>
      <c r="BI58" s="14">
        <f t="shared" si="113"/>
        <v>10.7</v>
      </c>
      <c r="BJ58" s="14">
        <f t="shared" si="113"/>
        <v>10.7</v>
      </c>
      <c r="BK58" s="14">
        <f t="shared" si="113"/>
        <v>10.7</v>
      </c>
      <c r="BL58" s="14">
        <f t="shared" si="113"/>
        <v>10.7</v>
      </c>
      <c r="BM58" s="14">
        <f t="shared" si="113"/>
        <v>10.7</v>
      </c>
      <c r="BN58" s="14">
        <f t="shared" si="113"/>
        <v>10.7</v>
      </c>
      <c r="BO58" s="14">
        <f t="shared" si="113"/>
        <v>10.7</v>
      </c>
      <c r="BP58" s="14">
        <f t="shared" si="113"/>
        <v>10.7</v>
      </c>
      <c r="BQ58" s="14">
        <f t="shared" si="113"/>
        <v>10.7</v>
      </c>
      <c r="BR58" s="14">
        <f aca="true" t="shared" si="114" ref="BR58:EC58">BQ59</f>
        <v>10.7</v>
      </c>
      <c r="BS58" s="14">
        <f t="shared" si="114"/>
        <v>0</v>
      </c>
      <c r="BT58" s="26">
        <f t="shared" si="114"/>
        <v>0</v>
      </c>
      <c r="BU58" s="26">
        <f t="shared" si="114"/>
        <v>0</v>
      </c>
      <c r="BV58" s="26">
        <f t="shared" si="114"/>
        <v>0</v>
      </c>
      <c r="BW58" s="14">
        <f t="shared" si="114"/>
        <v>0</v>
      </c>
      <c r="BX58" s="14">
        <f t="shared" si="114"/>
        <v>0</v>
      </c>
      <c r="BY58" s="14">
        <f t="shared" si="114"/>
        <v>0</v>
      </c>
      <c r="BZ58" s="14">
        <f t="shared" si="114"/>
        <v>0</v>
      </c>
      <c r="CA58" s="14">
        <f t="shared" si="114"/>
        <v>0</v>
      </c>
      <c r="CB58" s="14">
        <f t="shared" si="114"/>
        <v>0</v>
      </c>
      <c r="CC58" s="14">
        <f t="shared" si="114"/>
        <v>0</v>
      </c>
      <c r="CD58" s="14">
        <f t="shared" si="114"/>
        <v>0</v>
      </c>
      <c r="CE58" s="14">
        <f t="shared" si="114"/>
        <v>0</v>
      </c>
      <c r="CF58" s="14">
        <f t="shared" si="114"/>
        <v>0</v>
      </c>
      <c r="CG58" s="14">
        <f t="shared" si="114"/>
        <v>0</v>
      </c>
      <c r="CH58" s="14">
        <f t="shared" si="114"/>
        <v>0</v>
      </c>
      <c r="CI58" s="14">
        <f>CH59+16.5</f>
        <v>16.5</v>
      </c>
      <c r="CJ58" s="14">
        <f t="shared" si="114"/>
        <v>16.5</v>
      </c>
      <c r="CK58" s="14">
        <f t="shared" si="114"/>
        <v>16.5</v>
      </c>
      <c r="CL58" s="14">
        <f t="shared" si="114"/>
        <v>16.5</v>
      </c>
      <c r="CM58" s="14">
        <f t="shared" si="114"/>
        <v>16.5</v>
      </c>
      <c r="CN58" s="14">
        <f t="shared" si="114"/>
        <v>16.5</v>
      </c>
      <c r="CO58" s="14">
        <f t="shared" si="114"/>
        <v>16.5</v>
      </c>
      <c r="CP58" s="14">
        <f t="shared" si="114"/>
        <v>16.5</v>
      </c>
      <c r="CQ58" s="14">
        <f t="shared" si="114"/>
        <v>0</v>
      </c>
      <c r="CR58" s="14">
        <f t="shared" si="114"/>
        <v>0</v>
      </c>
      <c r="CS58" s="14">
        <f t="shared" si="114"/>
        <v>0</v>
      </c>
      <c r="CT58" s="14">
        <f t="shared" si="114"/>
        <v>0</v>
      </c>
      <c r="CU58" s="14">
        <f t="shared" si="114"/>
        <v>0</v>
      </c>
      <c r="CV58" s="14">
        <f t="shared" si="114"/>
        <v>0</v>
      </c>
      <c r="CW58" s="14">
        <f t="shared" si="114"/>
        <v>0</v>
      </c>
      <c r="CX58" s="14">
        <f t="shared" si="114"/>
        <v>0</v>
      </c>
      <c r="CY58" s="14">
        <f t="shared" si="114"/>
        <v>0</v>
      </c>
      <c r="CZ58" s="14">
        <f t="shared" si="114"/>
        <v>0</v>
      </c>
      <c r="DA58" s="14">
        <f t="shared" si="114"/>
        <v>0</v>
      </c>
      <c r="DB58" s="14">
        <f t="shared" si="114"/>
        <v>0</v>
      </c>
      <c r="DC58" s="14">
        <f t="shared" si="114"/>
        <v>0</v>
      </c>
      <c r="DD58" s="14">
        <f t="shared" si="114"/>
        <v>0</v>
      </c>
      <c r="DE58" s="14">
        <f t="shared" si="114"/>
        <v>0</v>
      </c>
      <c r="DF58" s="14">
        <f t="shared" si="114"/>
        <v>0</v>
      </c>
      <c r="DG58" s="14">
        <f t="shared" si="114"/>
        <v>0</v>
      </c>
      <c r="DH58" s="14">
        <f t="shared" si="114"/>
        <v>0</v>
      </c>
      <c r="DI58" s="14">
        <f t="shared" si="114"/>
        <v>0</v>
      </c>
      <c r="DJ58" s="14">
        <f t="shared" si="114"/>
        <v>0</v>
      </c>
      <c r="DK58" s="14">
        <f t="shared" si="114"/>
        <v>0</v>
      </c>
      <c r="DL58" s="14">
        <f t="shared" si="114"/>
        <v>0</v>
      </c>
      <c r="DM58" s="14">
        <f t="shared" si="114"/>
        <v>0</v>
      </c>
      <c r="DN58" s="14">
        <f t="shared" si="114"/>
        <v>0</v>
      </c>
      <c r="DO58" s="14">
        <f t="shared" si="114"/>
        <v>0</v>
      </c>
      <c r="DP58" s="15">
        <f t="shared" si="114"/>
        <v>0</v>
      </c>
      <c r="DQ58" s="15">
        <f>DP59+10.2</f>
        <v>10.2</v>
      </c>
      <c r="DR58" s="15">
        <f t="shared" si="114"/>
        <v>10.2</v>
      </c>
      <c r="DS58" s="15">
        <f t="shared" si="114"/>
        <v>10.2</v>
      </c>
      <c r="DT58" s="15">
        <f t="shared" si="114"/>
        <v>10.2</v>
      </c>
      <c r="DU58" s="14">
        <f t="shared" si="114"/>
        <v>10.2</v>
      </c>
      <c r="DV58" s="14">
        <f t="shared" si="114"/>
        <v>10.2</v>
      </c>
      <c r="DW58" s="14">
        <f t="shared" si="114"/>
        <v>10.2</v>
      </c>
      <c r="DX58" s="14">
        <f t="shared" si="114"/>
        <v>0</v>
      </c>
      <c r="DY58" s="14">
        <f t="shared" si="114"/>
        <v>0</v>
      </c>
      <c r="DZ58" s="14">
        <f t="shared" si="114"/>
        <v>0</v>
      </c>
      <c r="EA58" s="14">
        <f t="shared" si="114"/>
        <v>0</v>
      </c>
      <c r="EB58" s="14">
        <f t="shared" si="114"/>
        <v>0</v>
      </c>
      <c r="EC58" s="14">
        <f t="shared" si="114"/>
        <v>0</v>
      </c>
      <c r="ED58" s="14">
        <f aca="true" t="shared" si="115" ref="ED58:GO58">EC59</f>
        <v>0</v>
      </c>
      <c r="EE58" s="14">
        <f t="shared" si="115"/>
        <v>0</v>
      </c>
      <c r="EF58" s="14">
        <f t="shared" si="115"/>
        <v>0</v>
      </c>
      <c r="EG58" s="14">
        <f t="shared" si="115"/>
        <v>0</v>
      </c>
      <c r="EH58" s="14">
        <f t="shared" si="115"/>
        <v>0</v>
      </c>
      <c r="EI58" s="14">
        <f t="shared" si="115"/>
        <v>0</v>
      </c>
      <c r="EJ58" s="14">
        <f t="shared" si="115"/>
        <v>0</v>
      </c>
      <c r="EK58" s="14">
        <f t="shared" si="115"/>
        <v>0</v>
      </c>
      <c r="EL58" s="14">
        <f t="shared" si="115"/>
        <v>0</v>
      </c>
      <c r="EM58" s="14">
        <f t="shared" si="115"/>
        <v>0</v>
      </c>
      <c r="EN58" s="14">
        <f>EM59+8</f>
        <v>8</v>
      </c>
      <c r="EO58" s="14">
        <f t="shared" si="115"/>
        <v>8</v>
      </c>
      <c r="EP58" s="14">
        <f t="shared" si="115"/>
        <v>8</v>
      </c>
      <c r="EQ58" s="14">
        <f t="shared" si="115"/>
        <v>0</v>
      </c>
      <c r="ER58" s="14">
        <f>EQ59</f>
        <v>0</v>
      </c>
      <c r="ES58" s="14">
        <f>ER59</f>
        <v>0</v>
      </c>
      <c r="ET58" s="14">
        <f>ES59</f>
        <v>0</v>
      </c>
      <c r="EU58" s="14">
        <f t="shared" si="115"/>
        <v>0</v>
      </c>
      <c r="EV58" s="14">
        <f t="shared" si="115"/>
        <v>0</v>
      </c>
      <c r="EW58" s="14">
        <f t="shared" si="115"/>
        <v>0</v>
      </c>
      <c r="EX58" s="14">
        <f t="shared" si="115"/>
        <v>0</v>
      </c>
      <c r="EY58" s="14">
        <f t="shared" si="115"/>
        <v>0</v>
      </c>
      <c r="EZ58" s="14">
        <f t="shared" si="115"/>
        <v>0</v>
      </c>
      <c r="FA58" s="14">
        <f t="shared" si="115"/>
        <v>0</v>
      </c>
      <c r="FB58" s="14">
        <f t="shared" si="115"/>
        <v>0</v>
      </c>
      <c r="FC58" s="14">
        <f t="shared" si="115"/>
        <v>0</v>
      </c>
      <c r="FD58" s="14">
        <f t="shared" si="115"/>
        <v>0</v>
      </c>
      <c r="FE58" s="14">
        <f t="shared" si="115"/>
        <v>0</v>
      </c>
      <c r="FF58" s="14">
        <f t="shared" si="115"/>
        <v>0</v>
      </c>
      <c r="FG58" s="14">
        <f t="shared" si="115"/>
        <v>0</v>
      </c>
      <c r="FH58" s="14">
        <f t="shared" si="115"/>
        <v>0</v>
      </c>
      <c r="FI58" s="14">
        <f t="shared" si="115"/>
        <v>0</v>
      </c>
      <c r="FJ58" s="14">
        <f>FI59+12.3</f>
        <v>12.3</v>
      </c>
      <c r="FK58" s="14">
        <f t="shared" si="115"/>
        <v>12.3</v>
      </c>
      <c r="FL58" s="14">
        <f t="shared" si="115"/>
        <v>12.3</v>
      </c>
      <c r="FM58" s="14">
        <f t="shared" si="115"/>
        <v>12.3</v>
      </c>
      <c r="FN58" s="14">
        <f t="shared" si="115"/>
        <v>12.3</v>
      </c>
      <c r="FO58" s="14">
        <f t="shared" si="115"/>
        <v>12.3</v>
      </c>
      <c r="FP58" s="14">
        <f t="shared" si="115"/>
        <v>12.3</v>
      </c>
      <c r="FQ58" s="14">
        <f t="shared" si="115"/>
        <v>12.3</v>
      </c>
      <c r="FR58" s="14">
        <f t="shared" si="115"/>
        <v>12.3</v>
      </c>
      <c r="FS58" s="14">
        <f t="shared" si="115"/>
        <v>0</v>
      </c>
      <c r="FT58" s="14">
        <f t="shared" si="115"/>
        <v>0</v>
      </c>
      <c r="FU58" s="14">
        <f t="shared" si="115"/>
        <v>0</v>
      </c>
      <c r="FV58" s="14">
        <f t="shared" si="115"/>
        <v>0</v>
      </c>
      <c r="FW58" s="14">
        <f t="shared" si="115"/>
        <v>0</v>
      </c>
      <c r="FX58" s="14">
        <f t="shared" si="115"/>
        <v>0</v>
      </c>
      <c r="FY58" s="14">
        <f t="shared" si="115"/>
        <v>0</v>
      </c>
      <c r="FZ58" s="14">
        <f t="shared" si="115"/>
        <v>0</v>
      </c>
      <c r="GA58" s="14">
        <f t="shared" si="115"/>
        <v>0</v>
      </c>
      <c r="GB58" s="14">
        <f t="shared" si="115"/>
        <v>0</v>
      </c>
      <c r="GC58" s="14">
        <f t="shared" si="115"/>
        <v>0</v>
      </c>
      <c r="GD58" s="14">
        <f t="shared" si="115"/>
        <v>0</v>
      </c>
      <c r="GE58" s="14">
        <f t="shared" si="115"/>
        <v>0</v>
      </c>
      <c r="GF58" s="14">
        <f t="shared" si="115"/>
        <v>0</v>
      </c>
      <c r="GG58" s="14">
        <f t="shared" si="115"/>
        <v>0</v>
      </c>
      <c r="GH58" s="14">
        <f t="shared" si="115"/>
        <v>0</v>
      </c>
      <c r="GI58" s="14">
        <f t="shared" si="115"/>
        <v>0</v>
      </c>
      <c r="GJ58" s="14">
        <f t="shared" si="115"/>
        <v>0</v>
      </c>
      <c r="GK58" s="14">
        <f t="shared" si="115"/>
        <v>0</v>
      </c>
      <c r="GL58" s="14">
        <f t="shared" si="115"/>
        <v>0</v>
      </c>
      <c r="GM58" s="14">
        <f t="shared" si="115"/>
        <v>0</v>
      </c>
      <c r="GN58" s="14">
        <f t="shared" si="115"/>
        <v>0</v>
      </c>
      <c r="GO58" s="14">
        <f t="shared" si="115"/>
        <v>0</v>
      </c>
    </row>
    <row r="59" spans="1:197" ht="15">
      <c r="A59" s="4"/>
      <c r="B59" s="4"/>
      <c r="C59" s="12" t="s">
        <v>218</v>
      </c>
      <c r="D59" s="16">
        <f>D58-D57</f>
        <v>9.3</v>
      </c>
      <c r="E59" s="16">
        <f>E58-E57</f>
        <v>9.3</v>
      </c>
      <c r="F59" s="16">
        <f aca="true" t="shared" si="116" ref="F59:BQ59">F58-F57</f>
        <v>9.3</v>
      </c>
      <c r="G59" s="16">
        <f t="shared" si="116"/>
        <v>0</v>
      </c>
      <c r="H59" s="16">
        <f t="shared" si="116"/>
        <v>0</v>
      </c>
      <c r="I59" s="16">
        <f t="shared" si="116"/>
        <v>0</v>
      </c>
      <c r="J59" s="16">
        <f t="shared" si="116"/>
        <v>0</v>
      </c>
      <c r="K59" s="16">
        <f t="shared" si="116"/>
        <v>0</v>
      </c>
      <c r="L59" s="16">
        <f t="shared" si="116"/>
        <v>0</v>
      </c>
      <c r="M59" s="16">
        <f t="shared" si="116"/>
        <v>0</v>
      </c>
      <c r="N59" s="16">
        <f t="shared" si="116"/>
        <v>0</v>
      </c>
      <c r="O59" s="17">
        <f t="shared" si="116"/>
        <v>0</v>
      </c>
      <c r="P59" s="16">
        <f t="shared" si="116"/>
        <v>0</v>
      </c>
      <c r="Q59" s="16">
        <f t="shared" si="116"/>
        <v>0</v>
      </c>
      <c r="R59" s="16">
        <f t="shared" si="116"/>
        <v>0</v>
      </c>
      <c r="S59" s="16">
        <f t="shared" si="116"/>
        <v>0</v>
      </c>
      <c r="T59" s="16">
        <f t="shared" si="116"/>
        <v>0</v>
      </c>
      <c r="U59" s="16">
        <f t="shared" si="116"/>
        <v>0</v>
      </c>
      <c r="V59" s="16">
        <f t="shared" si="116"/>
        <v>13</v>
      </c>
      <c r="W59" s="16">
        <f t="shared" si="116"/>
        <v>13</v>
      </c>
      <c r="X59" s="17">
        <f t="shared" si="116"/>
        <v>13</v>
      </c>
      <c r="Y59" s="16">
        <f t="shared" si="116"/>
        <v>13</v>
      </c>
      <c r="Z59" s="16">
        <f t="shared" si="116"/>
        <v>13</v>
      </c>
      <c r="AA59" s="16">
        <f t="shared" si="116"/>
        <v>13</v>
      </c>
      <c r="AB59" s="16">
        <f t="shared" si="116"/>
        <v>13</v>
      </c>
      <c r="AC59" s="16">
        <f t="shared" si="116"/>
        <v>13</v>
      </c>
      <c r="AD59" s="17">
        <f t="shared" si="116"/>
        <v>13</v>
      </c>
      <c r="AE59" s="17">
        <f t="shared" si="116"/>
        <v>13</v>
      </c>
      <c r="AF59" s="16">
        <f t="shared" si="116"/>
        <v>13</v>
      </c>
      <c r="AG59" s="16">
        <f t="shared" si="116"/>
        <v>13</v>
      </c>
      <c r="AH59" s="16">
        <f t="shared" si="116"/>
        <v>13</v>
      </c>
      <c r="AI59" s="16">
        <f t="shared" si="116"/>
        <v>13</v>
      </c>
      <c r="AJ59" s="16">
        <f t="shared" si="116"/>
        <v>13</v>
      </c>
      <c r="AK59" s="16">
        <f t="shared" si="116"/>
        <v>13</v>
      </c>
      <c r="AL59" s="16">
        <f t="shared" si="116"/>
        <v>13</v>
      </c>
      <c r="AM59" s="16">
        <f t="shared" si="116"/>
        <v>13</v>
      </c>
      <c r="AN59" s="16">
        <f t="shared" si="116"/>
        <v>13</v>
      </c>
      <c r="AO59" s="16">
        <f t="shared" si="116"/>
        <v>13</v>
      </c>
      <c r="AP59" s="16">
        <f t="shared" si="116"/>
        <v>13</v>
      </c>
      <c r="AQ59" s="16">
        <f t="shared" si="116"/>
        <v>0</v>
      </c>
      <c r="AR59" s="16">
        <f t="shared" si="116"/>
        <v>0</v>
      </c>
      <c r="AS59" s="16">
        <f t="shared" si="116"/>
        <v>0</v>
      </c>
      <c r="AT59" s="16">
        <f t="shared" si="116"/>
        <v>0</v>
      </c>
      <c r="AU59" s="16">
        <f t="shared" si="116"/>
        <v>0</v>
      </c>
      <c r="AV59" s="16">
        <f t="shared" si="116"/>
        <v>0</v>
      </c>
      <c r="AW59" s="16">
        <f t="shared" si="116"/>
        <v>0</v>
      </c>
      <c r="AX59" s="16">
        <f t="shared" si="116"/>
        <v>0</v>
      </c>
      <c r="AY59" s="16">
        <f t="shared" si="116"/>
        <v>0</v>
      </c>
      <c r="AZ59" s="16">
        <f t="shared" si="116"/>
        <v>0</v>
      </c>
      <c r="BA59" s="16">
        <f t="shared" si="116"/>
        <v>0</v>
      </c>
      <c r="BB59" s="16">
        <f t="shared" si="116"/>
        <v>0</v>
      </c>
      <c r="BC59" s="16">
        <f t="shared" si="116"/>
        <v>0</v>
      </c>
      <c r="BD59" s="16">
        <f t="shared" si="116"/>
        <v>0</v>
      </c>
      <c r="BE59" s="16">
        <f t="shared" si="116"/>
        <v>0</v>
      </c>
      <c r="BF59" s="16">
        <f t="shared" si="116"/>
        <v>10.7</v>
      </c>
      <c r="BG59" s="16">
        <f t="shared" si="116"/>
        <v>10.7</v>
      </c>
      <c r="BH59" s="16">
        <f t="shared" si="116"/>
        <v>10.7</v>
      </c>
      <c r="BI59" s="16">
        <f t="shared" si="116"/>
        <v>10.7</v>
      </c>
      <c r="BJ59" s="16">
        <f t="shared" si="116"/>
        <v>10.7</v>
      </c>
      <c r="BK59" s="16">
        <f t="shared" si="116"/>
        <v>10.7</v>
      </c>
      <c r="BL59" s="16">
        <f t="shared" si="116"/>
        <v>10.7</v>
      </c>
      <c r="BM59" s="16">
        <f t="shared" si="116"/>
        <v>10.7</v>
      </c>
      <c r="BN59" s="16">
        <f t="shared" si="116"/>
        <v>10.7</v>
      </c>
      <c r="BO59" s="16">
        <f t="shared" si="116"/>
        <v>10.7</v>
      </c>
      <c r="BP59" s="16">
        <f t="shared" si="116"/>
        <v>10.7</v>
      </c>
      <c r="BQ59" s="16">
        <f t="shared" si="116"/>
        <v>10.7</v>
      </c>
      <c r="BR59" s="16">
        <f aca="true" t="shared" si="117" ref="BR59:EC59">BR58-BR57</f>
        <v>0</v>
      </c>
      <c r="BS59" s="16">
        <f t="shared" si="117"/>
        <v>0</v>
      </c>
      <c r="BT59" s="27">
        <f t="shared" si="117"/>
        <v>0</v>
      </c>
      <c r="BU59" s="27">
        <f t="shared" si="117"/>
        <v>0</v>
      </c>
      <c r="BV59" s="27">
        <f t="shared" si="117"/>
        <v>0</v>
      </c>
      <c r="BW59" s="16">
        <f t="shared" si="117"/>
        <v>0</v>
      </c>
      <c r="BX59" s="16">
        <f t="shared" si="117"/>
        <v>0</v>
      </c>
      <c r="BY59" s="16">
        <f t="shared" si="117"/>
        <v>0</v>
      </c>
      <c r="BZ59" s="16">
        <f t="shared" si="117"/>
        <v>0</v>
      </c>
      <c r="CA59" s="16">
        <f t="shared" si="117"/>
        <v>0</v>
      </c>
      <c r="CB59" s="16">
        <f t="shared" si="117"/>
        <v>0</v>
      </c>
      <c r="CC59" s="16">
        <f t="shared" si="117"/>
        <v>0</v>
      </c>
      <c r="CD59" s="16">
        <f t="shared" si="117"/>
        <v>0</v>
      </c>
      <c r="CE59" s="16">
        <f t="shared" si="117"/>
        <v>0</v>
      </c>
      <c r="CF59" s="16">
        <f t="shared" si="117"/>
        <v>0</v>
      </c>
      <c r="CG59" s="16">
        <f t="shared" si="117"/>
        <v>0</v>
      </c>
      <c r="CH59" s="16">
        <f t="shared" si="117"/>
        <v>0</v>
      </c>
      <c r="CI59" s="16">
        <f t="shared" si="117"/>
        <v>16.5</v>
      </c>
      <c r="CJ59" s="16">
        <f t="shared" si="117"/>
        <v>16.5</v>
      </c>
      <c r="CK59" s="16">
        <f t="shared" si="117"/>
        <v>16.5</v>
      </c>
      <c r="CL59" s="16">
        <f t="shared" si="117"/>
        <v>16.5</v>
      </c>
      <c r="CM59" s="16">
        <f t="shared" si="117"/>
        <v>16.5</v>
      </c>
      <c r="CN59" s="16">
        <f t="shared" si="117"/>
        <v>16.5</v>
      </c>
      <c r="CO59" s="16">
        <f t="shared" si="117"/>
        <v>16.5</v>
      </c>
      <c r="CP59" s="16">
        <f t="shared" si="117"/>
        <v>0</v>
      </c>
      <c r="CQ59" s="16">
        <f t="shared" si="117"/>
        <v>0</v>
      </c>
      <c r="CR59" s="16">
        <f t="shared" si="117"/>
        <v>0</v>
      </c>
      <c r="CS59" s="16">
        <f t="shared" si="117"/>
        <v>0</v>
      </c>
      <c r="CT59" s="16">
        <f t="shared" si="117"/>
        <v>0</v>
      </c>
      <c r="CU59" s="16">
        <f t="shared" si="117"/>
        <v>0</v>
      </c>
      <c r="CV59" s="16">
        <f t="shared" si="117"/>
        <v>0</v>
      </c>
      <c r="CW59" s="16">
        <f t="shared" si="117"/>
        <v>0</v>
      </c>
      <c r="CX59" s="16">
        <f t="shared" si="117"/>
        <v>0</v>
      </c>
      <c r="CY59" s="16">
        <f t="shared" si="117"/>
        <v>0</v>
      </c>
      <c r="CZ59" s="16">
        <f t="shared" si="117"/>
        <v>0</v>
      </c>
      <c r="DA59" s="16">
        <f t="shared" si="117"/>
        <v>0</v>
      </c>
      <c r="DB59" s="16">
        <f t="shared" si="117"/>
        <v>0</v>
      </c>
      <c r="DC59" s="16">
        <f t="shared" si="117"/>
        <v>0</v>
      </c>
      <c r="DD59" s="16">
        <f t="shared" si="117"/>
        <v>0</v>
      </c>
      <c r="DE59" s="16">
        <f t="shared" si="117"/>
        <v>0</v>
      </c>
      <c r="DF59" s="16">
        <f t="shared" si="117"/>
        <v>0</v>
      </c>
      <c r="DG59" s="16">
        <f t="shared" si="117"/>
        <v>0</v>
      </c>
      <c r="DH59" s="16">
        <f t="shared" si="117"/>
        <v>0</v>
      </c>
      <c r="DI59" s="16">
        <f t="shared" si="117"/>
        <v>0</v>
      </c>
      <c r="DJ59" s="16">
        <f t="shared" si="117"/>
        <v>0</v>
      </c>
      <c r="DK59" s="16">
        <f t="shared" si="117"/>
        <v>0</v>
      </c>
      <c r="DL59" s="16">
        <f t="shared" si="117"/>
        <v>0</v>
      </c>
      <c r="DM59" s="16">
        <f t="shared" si="117"/>
        <v>0</v>
      </c>
      <c r="DN59" s="16">
        <f t="shared" si="117"/>
        <v>0</v>
      </c>
      <c r="DO59" s="16">
        <f t="shared" si="117"/>
        <v>0</v>
      </c>
      <c r="DP59" s="17">
        <f t="shared" si="117"/>
        <v>0</v>
      </c>
      <c r="DQ59" s="17">
        <f t="shared" si="117"/>
        <v>10.2</v>
      </c>
      <c r="DR59" s="17">
        <f t="shared" si="117"/>
        <v>10.2</v>
      </c>
      <c r="DS59" s="17">
        <f t="shared" si="117"/>
        <v>10.2</v>
      </c>
      <c r="DT59" s="17">
        <f t="shared" si="117"/>
        <v>10.2</v>
      </c>
      <c r="DU59" s="16">
        <f t="shared" si="117"/>
        <v>10.2</v>
      </c>
      <c r="DV59" s="16">
        <f t="shared" si="117"/>
        <v>10.2</v>
      </c>
      <c r="DW59" s="16">
        <f t="shared" si="117"/>
        <v>0</v>
      </c>
      <c r="DX59" s="16">
        <f t="shared" si="117"/>
        <v>0</v>
      </c>
      <c r="DY59" s="16">
        <f t="shared" si="117"/>
        <v>0</v>
      </c>
      <c r="DZ59" s="16">
        <f t="shared" si="117"/>
        <v>0</v>
      </c>
      <c r="EA59" s="16">
        <f t="shared" si="117"/>
        <v>0</v>
      </c>
      <c r="EB59" s="16">
        <f t="shared" si="117"/>
        <v>0</v>
      </c>
      <c r="EC59" s="16">
        <f t="shared" si="117"/>
        <v>0</v>
      </c>
      <c r="ED59" s="16">
        <f aca="true" t="shared" si="118" ref="ED59:GO59">ED58-ED57</f>
        <v>0</v>
      </c>
      <c r="EE59" s="16">
        <f t="shared" si="118"/>
        <v>0</v>
      </c>
      <c r="EF59" s="16">
        <f t="shared" si="118"/>
        <v>0</v>
      </c>
      <c r="EG59" s="16">
        <f t="shared" si="118"/>
        <v>0</v>
      </c>
      <c r="EH59" s="16">
        <f t="shared" si="118"/>
        <v>0</v>
      </c>
      <c r="EI59" s="16">
        <f t="shared" si="118"/>
        <v>0</v>
      </c>
      <c r="EJ59" s="16">
        <f t="shared" si="118"/>
        <v>0</v>
      </c>
      <c r="EK59" s="16">
        <f t="shared" si="118"/>
        <v>0</v>
      </c>
      <c r="EL59" s="16">
        <f t="shared" si="118"/>
        <v>0</v>
      </c>
      <c r="EM59" s="16">
        <f t="shared" si="118"/>
        <v>0</v>
      </c>
      <c r="EN59" s="16">
        <f t="shared" si="118"/>
        <v>8</v>
      </c>
      <c r="EO59" s="16">
        <f t="shared" si="118"/>
        <v>8</v>
      </c>
      <c r="EP59" s="16">
        <f t="shared" si="118"/>
        <v>0</v>
      </c>
      <c r="EQ59" s="16">
        <f t="shared" si="118"/>
        <v>0</v>
      </c>
      <c r="ER59" s="16">
        <f t="shared" si="118"/>
        <v>0</v>
      </c>
      <c r="ES59" s="16">
        <f t="shared" si="118"/>
        <v>0</v>
      </c>
      <c r="ET59" s="16">
        <f t="shared" si="118"/>
        <v>0</v>
      </c>
      <c r="EU59" s="16">
        <f t="shared" si="118"/>
        <v>0</v>
      </c>
      <c r="EV59" s="16">
        <f t="shared" si="118"/>
        <v>0</v>
      </c>
      <c r="EW59" s="16">
        <f t="shared" si="118"/>
        <v>0</v>
      </c>
      <c r="EX59" s="16">
        <f t="shared" si="118"/>
        <v>0</v>
      </c>
      <c r="EY59" s="16">
        <f t="shared" si="118"/>
        <v>0</v>
      </c>
      <c r="EZ59" s="16">
        <f t="shared" si="118"/>
        <v>0</v>
      </c>
      <c r="FA59" s="16">
        <f t="shared" si="118"/>
        <v>0</v>
      </c>
      <c r="FB59" s="16">
        <f t="shared" si="118"/>
        <v>0</v>
      </c>
      <c r="FC59" s="16">
        <f t="shared" si="118"/>
        <v>0</v>
      </c>
      <c r="FD59" s="16">
        <f t="shared" si="118"/>
        <v>0</v>
      </c>
      <c r="FE59" s="16">
        <f t="shared" si="118"/>
        <v>0</v>
      </c>
      <c r="FF59" s="16">
        <f t="shared" si="118"/>
        <v>0</v>
      </c>
      <c r="FG59" s="16">
        <f t="shared" si="118"/>
        <v>0</v>
      </c>
      <c r="FH59" s="16">
        <f t="shared" si="118"/>
        <v>0</v>
      </c>
      <c r="FI59" s="16">
        <f t="shared" si="118"/>
        <v>0</v>
      </c>
      <c r="FJ59" s="16">
        <f t="shared" si="118"/>
        <v>12.3</v>
      </c>
      <c r="FK59" s="16">
        <f t="shared" si="118"/>
        <v>12.3</v>
      </c>
      <c r="FL59" s="16">
        <f t="shared" si="118"/>
        <v>12.3</v>
      </c>
      <c r="FM59" s="16">
        <f t="shared" si="118"/>
        <v>12.3</v>
      </c>
      <c r="FN59" s="16">
        <f t="shared" si="118"/>
        <v>12.3</v>
      </c>
      <c r="FO59" s="16">
        <f t="shared" si="118"/>
        <v>12.3</v>
      </c>
      <c r="FP59" s="16">
        <f t="shared" si="118"/>
        <v>12.3</v>
      </c>
      <c r="FQ59" s="16">
        <f t="shared" si="118"/>
        <v>12.3</v>
      </c>
      <c r="FR59" s="16">
        <f t="shared" si="118"/>
        <v>0</v>
      </c>
      <c r="FS59" s="16">
        <f t="shared" si="118"/>
        <v>0</v>
      </c>
      <c r="FT59" s="16">
        <f t="shared" si="118"/>
        <v>0</v>
      </c>
      <c r="FU59" s="16">
        <f t="shared" si="118"/>
        <v>0</v>
      </c>
      <c r="FV59" s="16">
        <f t="shared" si="118"/>
        <v>0</v>
      </c>
      <c r="FW59" s="16">
        <f t="shared" si="118"/>
        <v>0</v>
      </c>
      <c r="FX59" s="16">
        <f t="shared" si="118"/>
        <v>0</v>
      </c>
      <c r="FY59" s="16">
        <f t="shared" si="118"/>
        <v>0</v>
      </c>
      <c r="FZ59" s="16">
        <f t="shared" si="118"/>
        <v>0</v>
      </c>
      <c r="GA59" s="16">
        <f t="shared" si="118"/>
        <v>0</v>
      </c>
      <c r="GB59" s="16">
        <f t="shared" si="118"/>
        <v>0</v>
      </c>
      <c r="GC59" s="16">
        <f t="shared" si="118"/>
        <v>0</v>
      </c>
      <c r="GD59" s="16">
        <f t="shared" si="118"/>
        <v>0</v>
      </c>
      <c r="GE59" s="16">
        <f t="shared" si="118"/>
        <v>0</v>
      </c>
      <c r="GF59" s="16">
        <f t="shared" si="118"/>
        <v>0</v>
      </c>
      <c r="GG59" s="16">
        <f t="shared" si="118"/>
        <v>0</v>
      </c>
      <c r="GH59" s="16">
        <f t="shared" si="118"/>
        <v>0</v>
      </c>
      <c r="GI59" s="16">
        <f t="shared" si="118"/>
        <v>0</v>
      </c>
      <c r="GJ59" s="16">
        <f t="shared" si="118"/>
        <v>0</v>
      </c>
      <c r="GK59" s="16">
        <f t="shared" si="118"/>
        <v>0</v>
      </c>
      <c r="GL59" s="16">
        <f t="shared" si="118"/>
        <v>0</v>
      </c>
      <c r="GM59" s="16">
        <f t="shared" si="118"/>
        <v>0</v>
      </c>
      <c r="GN59" s="16">
        <f t="shared" si="118"/>
        <v>0</v>
      </c>
      <c r="GO59" s="16">
        <f t="shared" si="118"/>
        <v>0</v>
      </c>
    </row>
    <row r="60" spans="1:256" s="9" customFormat="1" ht="15">
      <c r="A60" s="47" t="s">
        <v>239</v>
      </c>
      <c r="B60" s="4">
        <v>14</v>
      </c>
      <c r="C60" s="12" t="s">
        <v>216</v>
      </c>
      <c r="D60" s="19">
        <v>25</v>
      </c>
      <c r="O60" s="29"/>
      <c r="R60" s="19">
        <v>81.1</v>
      </c>
      <c r="X60" s="29"/>
      <c r="AD60" s="29"/>
      <c r="AE60" s="29"/>
      <c r="AG60" s="19">
        <v>30</v>
      </c>
      <c r="AH60" s="19">
        <v>47.4</v>
      </c>
      <c r="AX60" s="30">
        <v>45</v>
      </c>
      <c r="AY60" s="30">
        <v>45</v>
      </c>
      <c r="AZ60" s="19">
        <v>45.6</v>
      </c>
      <c r="BR60" s="30">
        <v>48.5</v>
      </c>
      <c r="BS60" s="19">
        <v>50</v>
      </c>
      <c r="BT60" s="31"/>
      <c r="BU60" s="31"/>
      <c r="BV60" s="31"/>
      <c r="CJ60" s="19">
        <v>45</v>
      </c>
      <c r="CP60" s="19">
        <v>46.6</v>
      </c>
      <c r="DA60" s="30">
        <v>36</v>
      </c>
      <c r="DB60" s="30">
        <v>36</v>
      </c>
      <c r="DP60" s="19">
        <v>102.2</v>
      </c>
      <c r="DQ60" s="29"/>
      <c r="DR60" s="29"/>
      <c r="DS60" s="29"/>
      <c r="DT60" s="29"/>
      <c r="EE60" s="30">
        <v>15</v>
      </c>
      <c r="EF60" s="19">
        <v>40</v>
      </c>
      <c r="EH60" s="19">
        <v>17</v>
      </c>
      <c r="EZ60" s="19">
        <v>59.3</v>
      </c>
      <c r="FR60" s="9">
        <v>57.4</v>
      </c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197" ht="15">
      <c r="A61" s="4"/>
      <c r="B61" s="4"/>
      <c r="C61" s="12" t="s">
        <v>217</v>
      </c>
      <c r="D61" s="14">
        <v>25</v>
      </c>
      <c r="E61" s="14">
        <f>D62</f>
        <v>0</v>
      </c>
      <c r="F61" s="14">
        <f aca="true" t="shared" si="119" ref="F61:BQ61">E62</f>
        <v>0</v>
      </c>
      <c r="G61" s="14">
        <f t="shared" si="119"/>
        <v>0</v>
      </c>
      <c r="H61" s="14">
        <f t="shared" si="119"/>
        <v>0</v>
      </c>
      <c r="I61" s="14">
        <f t="shared" si="119"/>
        <v>0</v>
      </c>
      <c r="J61" s="14">
        <f t="shared" si="119"/>
        <v>0</v>
      </c>
      <c r="K61" s="14">
        <f t="shared" si="119"/>
        <v>0</v>
      </c>
      <c r="L61" s="14">
        <f t="shared" si="119"/>
        <v>0</v>
      </c>
      <c r="M61" s="14">
        <f t="shared" si="119"/>
        <v>0</v>
      </c>
      <c r="N61" s="14">
        <f t="shared" si="119"/>
        <v>0</v>
      </c>
      <c r="O61" s="15">
        <f>N62+81.1</f>
        <v>81.1</v>
      </c>
      <c r="P61" s="14">
        <f t="shared" si="119"/>
        <v>81.1</v>
      </c>
      <c r="Q61" s="14">
        <f t="shared" si="119"/>
        <v>81.1</v>
      </c>
      <c r="R61" s="14">
        <f t="shared" si="119"/>
        <v>81.1</v>
      </c>
      <c r="S61" s="14">
        <f t="shared" si="119"/>
        <v>0</v>
      </c>
      <c r="T61" s="14">
        <f t="shared" si="119"/>
        <v>0</v>
      </c>
      <c r="U61" s="14">
        <f t="shared" si="119"/>
        <v>0</v>
      </c>
      <c r="V61" s="14">
        <f t="shared" si="119"/>
        <v>0</v>
      </c>
      <c r="W61" s="14">
        <f t="shared" si="119"/>
        <v>0</v>
      </c>
      <c r="X61" s="15">
        <f t="shared" si="119"/>
        <v>0</v>
      </c>
      <c r="Y61" s="14">
        <f t="shared" si="119"/>
        <v>0</v>
      </c>
      <c r="Z61" s="14">
        <f t="shared" si="119"/>
        <v>0</v>
      </c>
      <c r="AA61" s="14">
        <f t="shared" si="119"/>
        <v>0</v>
      </c>
      <c r="AB61" s="14">
        <f t="shared" si="119"/>
        <v>0</v>
      </c>
      <c r="AC61" s="14">
        <f t="shared" si="119"/>
        <v>0</v>
      </c>
      <c r="AD61" s="15">
        <f t="shared" si="119"/>
        <v>0</v>
      </c>
      <c r="AE61" s="15">
        <f>AD62+77.4</f>
        <v>77.4</v>
      </c>
      <c r="AF61" s="14">
        <f t="shared" si="119"/>
        <v>77.4</v>
      </c>
      <c r="AG61" s="14">
        <f t="shared" si="119"/>
        <v>77.4</v>
      </c>
      <c r="AH61" s="14">
        <f t="shared" si="119"/>
        <v>47.400000000000006</v>
      </c>
      <c r="AI61" s="14">
        <f t="shared" si="119"/>
        <v>0</v>
      </c>
      <c r="AJ61" s="14">
        <f t="shared" si="119"/>
        <v>0</v>
      </c>
      <c r="AK61" s="14">
        <f t="shared" si="119"/>
        <v>0</v>
      </c>
      <c r="AL61" s="14">
        <f t="shared" si="119"/>
        <v>0</v>
      </c>
      <c r="AM61" s="14">
        <f t="shared" si="119"/>
        <v>0</v>
      </c>
      <c r="AN61" s="14">
        <f t="shared" si="119"/>
        <v>0</v>
      </c>
      <c r="AO61" s="14">
        <f t="shared" si="119"/>
        <v>0</v>
      </c>
      <c r="AP61" s="14">
        <f t="shared" si="119"/>
        <v>0</v>
      </c>
      <c r="AQ61" s="14">
        <f t="shared" si="119"/>
        <v>0</v>
      </c>
      <c r="AR61" s="14">
        <f t="shared" si="119"/>
        <v>0</v>
      </c>
      <c r="AS61" s="14">
        <f t="shared" si="119"/>
        <v>0</v>
      </c>
      <c r="AT61" s="14">
        <f t="shared" si="119"/>
        <v>0</v>
      </c>
      <c r="AU61" s="14">
        <f t="shared" si="119"/>
        <v>0</v>
      </c>
      <c r="AV61" s="14">
        <f t="shared" si="119"/>
        <v>0</v>
      </c>
      <c r="AW61" s="14">
        <f>AV62+135.6</f>
        <v>135.6</v>
      </c>
      <c r="AX61" s="14">
        <f t="shared" si="119"/>
        <v>135.6</v>
      </c>
      <c r="AY61" s="14">
        <f t="shared" si="119"/>
        <v>90.6</v>
      </c>
      <c r="AZ61" s="14">
        <f t="shared" si="119"/>
        <v>45.599999999999994</v>
      </c>
      <c r="BA61" s="14">
        <f t="shared" si="119"/>
        <v>0</v>
      </c>
      <c r="BB61" s="14">
        <f t="shared" si="119"/>
        <v>0</v>
      </c>
      <c r="BC61" s="14">
        <f t="shared" si="119"/>
        <v>0</v>
      </c>
      <c r="BD61" s="14">
        <f t="shared" si="119"/>
        <v>0</v>
      </c>
      <c r="BE61" s="14">
        <f t="shared" si="119"/>
        <v>0</v>
      </c>
      <c r="BF61" s="14">
        <f t="shared" si="119"/>
        <v>0</v>
      </c>
      <c r="BG61" s="14">
        <f t="shared" si="119"/>
        <v>0</v>
      </c>
      <c r="BH61" s="14">
        <f t="shared" si="119"/>
        <v>0</v>
      </c>
      <c r="BI61" s="14">
        <f t="shared" si="119"/>
        <v>0</v>
      </c>
      <c r="BJ61" s="14">
        <f t="shared" si="119"/>
        <v>0</v>
      </c>
      <c r="BK61" s="14">
        <f t="shared" si="119"/>
        <v>0</v>
      </c>
      <c r="BL61" s="14">
        <f t="shared" si="119"/>
        <v>0</v>
      </c>
      <c r="BM61" s="14">
        <f t="shared" si="119"/>
        <v>0</v>
      </c>
      <c r="BN61" s="14">
        <f t="shared" si="119"/>
        <v>0</v>
      </c>
      <c r="BO61" s="14">
        <f>BN62+98.5</f>
        <v>98.5</v>
      </c>
      <c r="BP61" s="14">
        <f t="shared" si="119"/>
        <v>98.5</v>
      </c>
      <c r="BQ61" s="14">
        <f t="shared" si="119"/>
        <v>98.5</v>
      </c>
      <c r="BR61" s="14">
        <f aca="true" t="shared" si="120" ref="BR61:EC61">BQ62</f>
        <v>98.5</v>
      </c>
      <c r="BS61" s="14">
        <f t="shared" si="120"/>
        <v>50</v>
      </c>
      <c r="BT61" s="26">
        <f t="shared" si="120"/>
        <v>0</v>
      </c>
      <c r="BU61" s="26">
        <f t="shared" si="120"/>
        <v>0</v>
      </c>
      <c r="BV61" s="26">
        <f t="shared" si="120"/>
        <v>0</v>
      </c>
      <c r="BW61" s="14">
        <f t="shared" si="120"/>
        <v>0</v>
      </c>
      <c r="BX61" s="14">
        <f t="shared" si="120"/>
        <v>0</v>
      </c>
      <c r="BY61" s="14">
        <f t="shared" si="120"/>
        <v>0</v>
      </c>
      <c r="BZ61" s="14">
        <f t="shared" si="120"/>
        <v>0</v>
      </c>
      <c r="CA61" s="14">
        <f t="shared" si="120"/>
        <v>0</v>
      </c>
      <c r="CB61" s="14">
        <f t="shared" si="120"/>
        <v>0</v>
      </c>
      <c r="CC61" s="14">
        <f t="shared" si="120"/>
        <v>0</v>
      </c>
      <c r="CD61" s="14">
        <f t="shared" si="120"/>
        <v>0</v>
      </c>
      <c r="CE61" s="14">
        <f t="shared" si="120"/>
        <v>0</v>
      </c>
      <c r="CF61" s="14">
        <f t="shared" si="120"/>
        <v>0</v>
      </c>
      <c r="CG61" s="14">
        <f t="shared" si="120"/>
        <v>0</v>
      </c>
      <c r="CH61" s="14">
        <f t="shared" si="120"/>
        <v>0</v>
      </c>
      <c r="CI61" s="14">
        <f>CH62+91.6</f>
        <v>91.6</v>
      </c>
      <c r="CJ61" s="14">
        <f t="shared" si="120"/>
        <v>91.6</v>
      </c>
      <c r="CK61" s="14">
        <f t="shared" si="120"/>
        <v>46.599999999999994</v>
      </c>
      <c r="CL61" s="14">
        <f t="shared" si="120"/>
        <v>46.599999999999994</v>
      </c>
      <c r="CM61" s="14">
        <f t="shared" si="120"/>
        <v>46.599999999999994</v>
      </c>
      <c r="CN61" s="14">
        <f t="shared" si="120"/>
        <v>46.599999999999994</v>
      </c>
      <c r="CO61" s="14">
        <f t="shared" si="120"/>
        <v>46.599999999999994</v>
      </c>
      <c r="CP61" s="14">
        <f t="shared" si="120"/>
        <v>46.599999999999994</v>
      </c>
      <c r="CQ61" s="14">
        <f t="shared" si="120"/>
        <v>0</v>
      </c>
      <c r="CR61" s="14">
        <f t="shared" si="120"/>
        <v>0</v>
      </c>
      <c r="CS61" s="14">
        <f t="shared" si="120"/>
        <v>0</v>
      </c>
      <c r="CT61" s="14">
        <f t="shared" si="120"/>
        <v>0</v>
      </c>
      <c r="CU61" s="14">
        <f t="shared" si="120"/>
        <v>0</v>
      </c>
      <c r="CV61" s="14">
        <f t="shared" si="120"/>
        <v>0</v>
      </c>
      <c r="CW61" s="14">
        <f t="shared" si="120"/>
        <v>0</v>
      </c>
      <c r="CX61" s="14">
        <f t="shared" si="120"/>
        <v>0</v>
      </c>
      <c r="CY61" s="14">
        <f t="shared" si="120"/>
        <v>0</v>
      </c>
      <c r="CZ61" s="14">
        <f>CY62+72</f>
        <v>72</v>
      </c>
      <c r="DA61" s="14">
        <f t="shared" si="120"/>
        <v>72</v>
      </c>
      <c r="DB61" s="14">
        <f t="shared" si="120"/>
        <v>36</v>
      </c>
      <c r="DC61" s="14">
        <f t="shared" si="120"/>
        <v>0</v>
      </c>
      <c r="DD61" s="14">
        <f t="shared" si="120"/>
        <v>0</v>
      </c>
      <c r="DE61" s="14">
        <f t="shared" si="120"/>
        <v>0</v>
      </c>
      <c r="DF61" s="14">
        <f t="shared" si="120"/>
        <v>0</v>
      </c>
      <c r="DG61" s="14">
        <f t="shared" si="120"/>
        <v>0</v>
      </c>
      <c r="DH61" s="14">
        <f t="shared" si="120"/>
        <v>0</v>
      </c>
      <c r="DI61" s="14">
        <f t="shared" si="120"/>
        <v>0</v>
      </c>
      <c r="DJ61" s="14">
        <f t="shared" si="120"/>
        <v>0</v>
      </c>
      <c r="DK61" s="14">
        <f t="shared" si="120"/>
        <v>0</v>
      </c>
      <c r="DL61" s="14">
        <f t="shared" si="120"/>
        <v>0</v>
      </c>
      <c r="DM61" s="14">
        <f>DL62+102.2</f>
        <v>102.2</v>
      </c>
      <c r="DN61" s="14">
        <f t="shared" si="120"/>
        <v>102.2</v>
      </c>
      <c r="DO61" s="14">
        <f t="shared" si="120"/>
        <v>102.2</v>
      </c>
      <c r="DP61" s="15">
        <f t="shared" si="120"/>
        <v>102.2</v>
      </c>
      <c r="DQ61" s="15">
        <f t="shared" si="120"/>
        <v>0</v>
      </c>
      <c r="DR61" s="15">
        <f t="shared" si="120"/>
        <v>0</v>
      </c>
      <c r="DS61" s="15">
        <f t="shared" si="120"/>
        <v>0</v>
      </c>
      <c r="DT61" s="15">
        <f t="shared" si="120"/>
        <v>0</v>
      </c>
      <c r="DU61" s="14">
        <f t="shared" si="120"/>
        <v>0</v>
      </c>
      <c r="DV61" s="14">
        <f t="shared" si="120"/>
        <v>0</v>
      </c>
      <c r="DW61" s="14">
        <f t="shared" si="120"/>
        <v>0</v>
      </c>
      <c r="DX61" s="14">
        <f t="shared" si="120"/>
        <v>0</v>
      </c>
      <c r="DY61" s="14">
        <f t="shared" si="120"/>
        <v>0</v>
      </c>
      <c r="DZ61" s="14">
        <f t="shared" si="120"/>
        <v>0</v>
      </c>
      <c r="EA61" s="14">
        <f t="shared" si="120"/>
        <v>0</v>
      </c>
      <c r="EB61" s="14">
        <f t="shared" si="120"/>
        <v>0</v>
      </c>
      <c r="EC61" s="14">
        <f t="shared" si="120"/>
        <v>0</v>
      </c>
      <c r="ED61" s="14">
        <f aca="true" t="shared" si="121" ref="ED61:GO61">EC62</f>
        <v>0</v>
      </c>
      <c r="EE61" s="14">
        <f>ED6272+72</f>
        <v>72</v>
      </c>
      <c r="EF61" s="14">
        <f t="shared" si="121"/>
        <v>57</v>
      </c>
      <c r="EG61" s="14">
        <f t="shared" si="121"/>
        <v>17</v>
      </c>
      <c r="EH61" s="14">
        <f t="shared" si="121"/>
        <v>17</v>
      </c>
      <c r="EI61" s="14">
        <f t="shared" si="121"/>
        <v>0</v>
      </c>
      <c r="EJ61" s="14">
        <f t="shared" si="121"/>
        <v>0</v>
      </c>
      <c r="EK61" s="14">
        <f t="shared" si="121"/>
        <v>0</v>
      </c>
      <c r="EL61" s="14">
        <f t="shared" si="121"/>
        <v>0</v>
      </c>
      <c r="EM61" s="14">
        <f t="shared" si="121"/>
        <v>0</v>
      </c>
      <c r="EN61" s="14">
        <f t="shared" si="121"/>
        <v>0</v>
      </c>
      <c r="EO61" s="14">
        <f t="shared" si="121"/>
        <v>0</v>
      </c>
      <c r="EP61" s="14">
        <f t="shared" si="121"/>
        <v>0</v>
      </c>
      <c r="EQ61" s="14">
        <f t="shared" si="121"/>
        <v>0</v>
      </c>
      <c r="ER61" s="14">
        <f>EQ62</f>
        <v>0</v>
      </c>
      <c r="ES61" s="14">
        <f>ER62</f>
        <v>0</v>
      </c>
      <c r="ET61" s="14">
        <f>ES62</f>
        <v>0</v>
      </c>
      <c r="EU61" s="14">
        <f t="shared" si="121"/>
        <v>0</v>
      </c>
      <c r="EV61" s="14">
        <f>EU62+59.3</f>
        <v>59.3</v>
      </c>
      <c r="EW61" s="14">
        <f t="shared" si="121"/>
        <v>59.3</v>
      </c>
      <c r="EX61" s="14">
        <f t="shared" si="121"/>
        <v>59.3</v>
      </c>
      <c r="EY61" s="14">
        <f t="shared" si="121"/>
        <v>59.3</v>
      </c>
      <c r="EZ61" s="14">
        <f t="shared" si="121"/>
        <v>59.3</v>
      </c>
      <c r="FA61" s="14">
        <f t="shared" si="121"/>
        <v>0</v>
      </c>
      <c r="FB61" s="14">
        <f t="shared" si="121"/>
        <v>0</v>
      </c>
      <c r="FC61" s="14">
        <f t="shared" si="121"/>
        <v>0</v>
      </c>
      <c r="FD61" s="14">
        <f t="shared" si="121"/>
        <v>0</v>
      </c>
      <c r="FE61" s="14">
        <f t="shared" si="121"/>
        <v>0</v>
      </c>
      <c r="FF61" s="14">
        <f t="shared" si="121"/>
        <v>0</v>
      </c>
      <c r="FG61" s="14">
        <f t="shared" si="121"/>
        <v>0</v>
      </c>
      <c r="FH61" s="14">
        <f t="shared" si="121"/>
        <v>0</v>
      </c>
      <c r="FI61" s="14">
        <f t="shared" si="121"/>
        <v>0</v>
      </c>
      <c r="FJ61" s="14">
        <f t="shared" si="121"/>
        <v>0</v>
      </c>
      <c r="FK61" s="14">
        <f t="shared" si="121"/>
        <v>0</v>
      </c>
      <c r="FL61" s="14">
        <f t="shared" si="121"/>
        <v>0</v>
      </c>
      <c r="FM61" s="14">
        <f t="shared" si="121"/>
        <v>0</v>
      </c>
      <c r="FN61" s="14">
        <f>FM62+57.4</f>
        <v>57.4</v>
      </c>
      <c r="FO61" s="14">
        <f t="shared" si="121"/>
        <v>57.4</v>
      </c>
      <c r="FP61" s="14">
        <f t="shared" si="121"/>
        <v>57.4</v>
      </c>
      <c r="FQ61" s="14">
        <f t="shared" si="121"/>
        <v>57.4</v>
      </c>
      <c r="FR61" s="14">
        <f t="shared" si="121"/>
        <v>57.4</v>
      </c>
      <c r="FS61" s="14">
        <f t="shared" si="121"/>
        <v>0</v>
      </c>
      <c r="FT61" s="14">
        <f t="shared" si="121"/>
        <v>0</v>
      </c>
      <c r="FU61" s="14">
        <f t="shared" si="121"/>
        <v>0</v>
      </c>
      <c r="FV61" s="14">
        <f t="shared" si="121"/>
        <v>0</v>
      </c>
      <c r="FW61" s="14">
        <f t="shared" si="121"/>
        <v>0</v>
      </c>
      <c r="FX61" s="14">
        <f t="shared" si="121"/>
        <v>0</v>
      </c>
      <c r="FY61" s="14">
        <f t="shared" si="121"/>
        <v>0</v>
      </c>
      <c r="FZ61" s="14">
        <f t="shared" si="121"/>
        <v>0</v>
      </c>
      <c r="GA61" s="14">
        <f t="shared" si="121"/>
        <v>0</v>
      </c>
      <c r="GB61" s="14">
        <f t="shared" si="121"/>
        <v>0</v>
      </c>
      <c r="GC61" s="14">
        <f t="shared" si="121"/>
        <v>0</v>
      </c>
      <c r="GD61" s="14">
        <f t="shared" si="121"/>
        <v>0</v>
      </c>
      <c r="GE61" s="14">
        <f t="shared" si="121"/>
        <v>0</v>
      </c>
      <c r="GF61" s="14">
        <f t="shared" si="121"/>
        <v>0</v>
      </c>
      <c r="GG61" s="14">
        <f t="shared" si="121"/>
        <v>0</v>
      </c>
      <c r="GH61" s="14">
        <f t="shared" si="121"/>
        <v>0</v>
      </c>
      <c r="GI61" s="14">
        <f t="shared" si="121"/>
        <v>0</v>
      </c>
      <c r="GJ61" s="14">
        <f t="shared" si="121"/>
        <v>0</v>
      </c>
      <c r="GK61" s="14">
        <f t="shared" si="121"/>
        <v>0</v>
      </c>
      <c r="GL61" s="14">
        <f t="shared" si="121"/>
        <v>0</v>
      </c>
      <c r="GM61" s="14">
        <f t="shared" si="121"/>
        <v>0</v>
      </c>
      <c r="GN61" s="14">
        <f t="shared" si="121"/>
        <v>0</v>
      </c>
      <c r="GO61" s="14">
        <f t="shared" si="121"/>
        <v>0</v>
      </c>
    </row>
    <row r="62" spans="1:197" ht="15">
      <c r="A62" s="4"/>
      <c r="B62" s="4"/>
      <c r="C62" s="12" t="s">
        <v>218</v>
      </c>
      <c r="D62" s="16">
        <f>D61-D60</f>
        <v>0</v>
      </c>
      <c r="E62" s="16">
        <f>E61-E60</f>
        <v>0</v>
      </c>
      <c r="F62" s="16">
        <f aca="true" t="shared" si="122" ref="F62:BQ62">F61-F60</f>
        <v>0</v>
      </c>
      <c r="G62" s="16">
        <f t="shared" si="122"/>
        <v>0</v>
      </c>
      <c r="H62" s="16">
        <f t="shared" si="122"/>
        <v>0</v>
      </c>
      <c r="I62" s="16">
        <f t="shared" si="122"/>
        <v>0</v>
      </c>
      <c r="J62" s="16">
        <f t="shared" si="122"/>
        <v>0</v>
      </c>
      <c r="K62" s="16">
        <f t="shared" si="122"/>
        <v>0</v>
      </c>
      <c r="L62" s="16">
        <f t="shared" si="122"/>
        <v>0</v>
      </c>
      <c r="M62" s="16">
        <f t="shared" si="122"/>
        <v>0</v>
      </c>
      <c r="N62" s="16">
        <f t="shared" si="122"/>
        <v>0</v>
      </c>
      <c r="O62" s="17">
        <f t="shared" si="122"/>
        <v>81.1</v>
      </c>
      <c r="P62" s="16">
        <f t="shared" si="122"/>
        <v>81.1</v>
      </c>
      <c r="Q62" s="16">
        <f t="shared" si="122"/>
        <v>81.1</v>
      </c>
      <c r="R62" s="16">
        <f t="shared" si="122"/>
        <v>0</v>
      </c>
      <c r="S62" s="16">
        <f t="shared" si="122"/>
        <v>0</v>
      </c>
      <c r="T62" s="16">
        <f t="shared" si="122"/>
        <v>0</v>
      </c>
      <c r="U62" s="16">
        <f t="shared" si="122"/>
        <v>0</v>
      </c>
      <c r="V62" s="16">
        <f t="shared" si="122"/>
        <v>0</v>
      </c>
      <c r="W62" s="16">
        <f t="shared" si="122"/>
        <v>0</v>
      </c>
      <c r="X62" s="17">
        <f t="shared" si="122"/>
        <v>0</v>
      </c>
      <c r="Y62" s="16">
        <f t="shared" si="122"/>
        <v>0</v>
      </c>
      <c r="Z62" s="16">
        <f t="shared" si="122"/>
        <v>0</v>
      </c>
      <c r="AA62" s="16">
        <f t="shared" si="122"/>
        <v>0</v>
      </c>
      <c r="AB62" s="16">
        <f t="shared" si="122"/>
        <v>0</v>
      </c>
      <c r="AC62" s="16">
        <f t="shared" si="122"/>
        <v>0</v>
      </c>
      <c r="AD62" s="17">
        <f t="shared" si="122"/>
        <v>0</v>
      </c>
      <c r="AE62" s="17">
        <f t="shared" si="122"/>
        <v>77.4</v>
      </c>
      <c r="AF62" s="16">
        <f t="shared" si="122"/>
        <v>77.4</v>
      </c>
      <c r="AG62" s="16">
        <f t="shared" si="122"/>
        <v>47.400000000000006</v>
      </c>
      <c r="AH62" s="16">
        <f t="shared" si="122"/>
        <v>0</v>
      </c>
      <c r="AI62" s="16">
        <f t="shared" si="122"/>
        <v>0</v>
      </c>
      <c r="AJ62" s="16">
        <f t="shared" si="122"/>
        <v>0</v>
      </c>
      <c r="AK62" s="16">
        <f t="shared" si="122"/>
        <v>0</v>
      </c>
      <c r="AL62" s="16">
        <f t="shared" si="122"/>
        <v>0</v>
      </c>
      <c r="AM62" s="16">
        <f t="shared" si="122"/>
        <v>0</v>
      </c>
      <c r="AN62" s="16">
        <f t="shared" si="122"/>
        <v>0</v>
      </c>
      <c r="AO62" s="16">
        <f t="shared" si="122"/>
        <v>0</v>
      </c>
      <c r="AP62" s="16">
        <f t="shared" si="122"/>
        <v>0</v>
      </c>
      <c r="AQ62" s="16">
        <f t="shared" si="122"/>
        <v>0</v>
      </c>
      <c r="AR62" s="16">
        <f t="shared" si="122"/>
        <v>0</v>
      </c>
      <c r="AS62" s="16">
        <f t="shared" si="122"/>
        <v>0</v>
      </c>
      <c r="AT62" s="16">
        <f t="shared" si="122"/>
        <v>0</v>
      </c>
      <c r="AU62" s="16">
        <f t="shared" si="122"/>
        <v>0</v>
      </c>
      <c r="AV62" s="16">
        <f t="shared" si="122"/>
        <v>0</v>
      </c>
      <c r="AW62" s="16">
        <f t="shared" si="122"/>
        <v>135.6</v>
      </c>
      <c r="AX62" s="16">
        <f t="shared" si="122"/>
        <v>90.6</v>
      </c>
      <c r="AY62" s="16">
        <f t="shared" si="122"/>
        <v>45.599999999999994</v>
      </c>
      <c r="AZ62" s="16">
        <f t="shared" si="122"/>
        <v>0</v>
      </c>
      <c r="BA62" s="16">
        <f t="shared" si="122"/>
        <v>0</v>
      </c>
      <c r="BB62" s="16">
        <f t="shared" si="122"/>
        <v>0</v>
      </c>
      <c r="BC62" s="16">
        <f t="shared" si="122"/>
        <v>0</v>
      </c>
      <c r="BD62" s="16">
        <f t="shared" si="122"/>
        <v>0</v>
      </c>
      <c r="BE62" s="16">
        <f t="shared" si="122"/>
        <v>0</v>
      </c>
      <c r="BF62" s="16">
        <f t="shared" si="122"/>
        <v>0</v>
      </c>
      <c r="BG62" s="16">
        <f t="shared" si="122"/>
        <v>0</v>
      </c>
      <c r="BH62" s="16">
        <f t="shared" si="122"/>
        <v>0</v>
      </c>
      <c r="BI62" s="16">
        <f t="shared" si="122"/>
        <v>0</v>
      </c>
      <c r="BJ62" s="16">
        <f t="shared" si="122"/>
        <v>0</v>
      </c>
      <c r="BK62" s="16">
        <f t="shared" si="122"/>
        <v>0</v>
      </c>
      <c r="BL62" s="16">
        <f t="shared" si="122"/>
        <v>0</v>
      </c>
      <c r="BM62" s="16">
        <f t="shared" si="122"/>
        <v>0</v>
      </c>
      <c r="BN62" s="16">
        <f t="shared" si="122"/>
        <v>0</v>
      </c>
      <c r="BO62" s="16">
        <f t="shared" si="122"/>
        <v>98.5</v>
      </c>
      <c r="BP62" s="16">
        <f t="shared" si="122"/>
        <v>98.5</v>
      </c>
      <c r="BQ62" s="16">
        <f t="shared" si="122"/>
        <v>98.5</v>
      </c>
      <c r="BR62" s="16">
        <f aca="true" t="shared" si="123" ref="BR62:EC62">BR61-BR60</f>
        <v>50</v>
      </c>
      <c r="BS62" s="16">
        <f t="shared" si="123"/>
        <v>0</v>
      </c>
      <c r="BT62" s="27">
        <f t="shared" si="123"/>
        <v>0</v>
      </c>
      <c r="BU62" s="27">
        <f t="shared" si="123"/>
        <v>0</v>
      </c>
      <c r="BV62" s="27">
        <f t="shared" si="123"/>
        <v>0</v>
      </c>
      <c r="BW62" s="16">
        <f t="shared" si="123"/>
        <v>0</v>
      </c>
      <c r="BX62" s="16">
        <f t="shared" si="123"/>
        <v>0</v>
      </c>
      <c r="BY62" s="16">
        <f t="shared" si="123"/>
        <v>0</v>
      </c>
      <c r="BZ62" s="16">
        <f t="shared" si="123"/>
        <v>0</v>
      </c>
      <c r="CA62" s="16">
        <f t="shared" si="123"/>
        <v>0</v>
      </c>
      <c r="CB62" s="16">
        <f t="shared" si="123"/>
        <v>0</v>
      </c>
      <c r="CC62" s="16">
        <f t="shared" si="123"/>
        <v>0</v>
      </c>
      <c r="CD62" s="16">
        <f t="shared" si="123"/>
        <v>0</v>
      </c>
      <c r="CE62" s="16">
        <f t="shared" si="123"/>
        <v>0</v>
      </c>
      <c r="CF62" s="16">
        <f t="shared" si="123"/>
        <v>0</v>
      </c>
      <c r="CG62" s="16">
        <f t="shared" si="123"/>
        <v>0</v>
      </c>
      <c r="CH62" s="16">
        <f t="shared" si="123"/>
        <v>0</v>
      </c>
      <c r="CI62" s="16">
        <f t="shared" si="123"/>
        <v>91.6</v>
      </c>
      <c r="CJ62" s="16">
        <f t="shared" si="123"/>
        <v>46.599999999999994</v>
      </c>
      <c r="CK62" s="16">
        <f t="shared" si="123"/>
        <v>46.599999999999994</v>
      </c>
      <c r="CL62" s="16">
        <f t="shared" si="123"/>
        <v>46.599999999999994</v>
      </c>
      <c r="CM62" s="16">
        <f t="shared" si="123"/>
        <v>46.599999999999994</v>
      </c>
      <c r="CN62" s="16">
        <f t="shared" si="123"/>
        <v>46.599999999999994</v>
      </c>
      <c r="CO62" s="16">
        <f t="shared" si="123"/>
        <v>46.599999999999994</v>
      </c>
      <c r="CP62" s="16">
        <f t="shared" si="123"/>
        <v>0</v>
      </c>
      <c r="CQ62" s="16">
        <f t="shared" si="123"/>
        <v>0</v>
      </c>
      <c r="CR62" s="16">
        <f t="shared" si="123"/>
        <v>0</v>
      </c>
      <c r="CS62" s="16">
        <f t="shared" si="123"/>
        <v>0</v>
      </c>
      <c r="CT62" s="16">
        <f t="shared" si="123"/>
        <v>0</v>
      </c>
      <c r="CU62" s="16">
        <f t="shared" si="123"/>
        <v>0</v>
      </c>
      <c r="CV62" s="16">
        <f t="shared" si="123"/>
        <v>0</v>
      </c>
      <c r="CW62" s="16">
        <f t="shared" si="123"/>
        <v>0</v>
      </c>
      <c r="CX62" s="16">
        <f t="shared" si="123"/>
        <v>0</v>
      </c>
      <c r="CY62" s="16">
        <f t="shared" si="123"/>
        <v>0</v>
      </c>
      <c r="CZ62" s="16">
        <f t="shared" si="123"/>
        <v>72</v>
      </c>
      <c r="DA62" s="16">
        <f t="shared" si="123"/>
        <v>36</v>
      </c>
      <c r="DB62" s="16">
        <f t="shared" si="123"/>
        <v>0</v>
      </c>
      <c r="DC62" s="16">
        <f t="shared" si="123"/>
        <v>0</v>
      </c>
      <c r="DD62" s="16">
        <f t="shared" si="123"/>
        <v>0</v>
      </c>
      <c r="DE62" s="16">
        <f t="shared" si="123"/>
        <v>0</v>
      </c>
      <c r="DF62" s="16">
        <f t="shared" si="123"/>
        <v>0</v>
      </c>
      <c r="DG62" s="16">
        <f t="shared" si="123"/>
        <v>0</v>
      </c>
      <c r="DH62" s="16">
        <f t="shared" si="123"/>
        <v>0</v>
      </c>
      <c r="DI62" s="16">
        <f t="shared" si="123"/>
        <v>0</v>
      </c>
      <c r="DJ62" s="16">
        <f t="shared" si="123"/>
        <v>0</v>
      </c>
      <c r="DK62" s="16">
        <f t="shared" si="123"/>
        <v>0</v>
      </c>
      <c r="DL62" s="16">
        <f t="shared" si="123"/>
        <v>0</v>
      </c>
      <c r="DM62" s="16">
        <f t="shared" si="123"/>
        <v>102.2</v>
      </c>
      <c r="DN62" s="16">
        <f t="shared" si="123"/>
        <v>102.2</v>
      </c>
      <c r="DO62" s="16">
        <f t="shared" si="123"/>
        <v>102.2</v>
      </c>
      <c r="DP62" s="17">
        <f t="shared" si="123"/>
        <v>0</v>
      </c>
      <c r="DQ62" s="17">
        <f t="shared" si="123"/>
        <v>0</v>
      </c>
      <c r="DR62" s="17">
        <f t="shared" si="123"/>
        <v>0</v>
      </c>
      <c r="DS62" s="17">
        <f t="shared" si="123"/>
        <v>0</v>
      </c>
      <c r="DT62" s="17">
        <f t="shared" si="123"/>
        <v>0</v>
      </c>
      <c r="DU62" s="16">
        <f t="shared" si="123"/>
        <v>0</v>
      </c>
      <c r="DV62" s="16">
        <f t="shared" si="123"/>
        <v>0</v>
      </c>
      <c r="DW62" s="16">
        <f t="shared" si="123"/>
        <v>0</v>
      </c>
      <c r="DX62" s="16">
        <f t="shared" si="123"/>
        <v>0</v>
      </c>
      <c r="DY62" s="16">
        <f t="shared" si="123"/>
        <v>0</v>
      </c>
      <c r="DZ62" s="16">
        <f t="shared" si="123"/>
        <v>0</v>
      </c>
      <c r="EA62" s="16">
        <f t="shared" si="123"/>
        <v>0</v>
      </c>
      <c r="EB62" s="16">
        <f t="shared" si="123"/>
        <v>0</v>
      </c>
      <c r="EC62" s="16">
        <f t="shared" si="123"/>
        <v>0</v>
      </c>
      <c r="ED62" s="16">
        <f aca="true" t="shared" si="124" ref="ED62:GO62">ED61-ED60</f>
        <v>0</v>
      </c>
      <c r="EE62" s="16">
        <f t="shared" si="124"/>
        <v>57</v>
      </c>
      <c r="EF62" s="16">
        <f t="shared" si="124"/>
        <v>17</v>
      </c>
      <c r="EG62" s="16">
        <f t="shared" si="124"/>
        <v>17</v>
      </c>
      <c r="EH62" s="16">
        <f t="shared" si="124"/>
        <v>0</v>
      </c>
      <c r="EI62" s="16">
        <f t="shared" si="124"/>
        <v>0</v>
      </c>
      <c r="EJ62" s="16">
        <f t="shared" si="124"/>
        <v>0</v>
      </c>
      <c r="EK62" s="16">
        <f t="shared" si="124"/>
        <v>0</v>
      </c>
      <c r="EL62" s="16">
        <f t="shared" si="124"/>
        <v>0</v>
      </c>
      <c r="EM62" s="16">
        <f t="shared" si="124"/>
        <v>0</v>
      </c>
      <c r="EN62" s="16">
        <f t="shared" si="124"/>
        <v>0</v>
      </c>
      <c r="EO62" s="16">
        <f t="shared" si="124"/>
        <v>0</v>
      </c>
      <c r="EP62" s="16">
        <f t="shared" si="124"/>
        <v>0</v>
      </c>
      <c r="EQ62" s="16">
        <f t="shared" si="124"/>
        <v>0</v>
      </c>
      <c r="ER62" s="16">
        <f t="shared" si="124"/>
        <v>0</v>
      </c>
      <c r="ES62" s="16">
        <f t="shared" si="124"/>
        <v>0</v>
      </c>
      <c r="ET62" s="16">
        <f t="shared" si="124"/>
        <v>0</v>
      </c>
      <c r="EU62" s="16">
        <f t="shared" si="124"/>
        <v>0</v>
      </c>
      <c r="EV62" s="16">
        <f t="shared" si="124"/>
        <v>59.3</v>
      </c>
      <c r="EW62" s="16">
        <f t="shared" si="124"/>
        <v>59.3</v>
      </c>
      <c r="EX62" s="16">
        <f t="shared" si="124"/>
        <v>59.3</v>
      </c>
      <c r="EY62" s="16">
        <f t="shared" si="124"/>
        <v>59.3</v>
      </c>
      <c r="EZ62" s="16">
        <f t="shared" si="124"/>
        <v>0</v>
      </c>
      <c r="FA62" s="16">
        <f t="shared" si="124"/>
        <v>0</v>
      </c>
      <c r="FB62" s="16">
        <f t="shared" si="124"/>
        <v>0</v>
      </c>
      <c r="FC62" s="16">
        <f t="shared" si="124"/>
        <v>0</v>
      </c>
      <c r="FD62" s="16">
        <f t="shared" si="124"/>
        <v>0</v>
      </c>
      <c r="FE62" s="16">
        <f t="shared" si="124"/>
        <v>0</v>
      </c>
      <c r="FF62" s="16">
        <f t="shared" si="124"/>
        <v>0</v>
      </c>
      <c r="FG62" s="16">
        <f t="shared" si="124"/>
        <v>0</v>
      </c>
      <c r="FH62" s="16">
        <f t="shared" si="124"/>
        <v>0</v>
      </c>
      <c r="FI62" s="16">
        <f t="shared" si="124"/>
        <v>0</v>
      </c>
      <c r="FJ62" s="16">
        <f t="shared" si="124"/>
        <v>0</v>
      </c>
      <c r="FK62" s="16">
        <f t="shared" si="124"/>
        <v>0</v>
      </c>
      <c r="FL62" s="16">
        <f t="shared" si="124"/>
        <v>0</v>
      </c>
      <c r="FM62" s="16">
        <f t="shared" si="124"/>
        <v>0</v>
      </c>
      <c r="FN62" s="16">
        <f t="shared" si="124"/>
        <v>57.4</v>
      </c>
      <c r="FO62" s="16">
        <f t="shared" si="124"/>
        <v>57.4</v>
      </c>
      <c r="FP62" s="16">
        <f t="shared" si="124"/>
        <v>57.4</v>
      </c>
      <c r="FQ62" s="16">
        <f t="shared" si="124"/>
        <v>57.4</v>
      </c>
      <c r="FR62" s="16">
        <f t="shared" si="124"/>
        <v>0</v>
      </c>
      <c r="FS62" s="16">
        <f t="shared" si="124"/>
        <v>0</v>
      </c>
      <c r="FT62" s="16">
        <f t="shared" si="124"/>
        <v>0</v>
      </c>
      <c r="FU62" s="16">
        <f t="shared" si="124"/>
        <v>0</v>
      </c>
      <c r="FV62" s="16">
        <f t="shared" si="124"/>
        <v>0</v>
      </c>
      <c r="FW62" s="16">
        <f t="shared" si="124"/>
        <v>0</v>
      </c>
      <c r="FX62" s="16">
        <f t="shared" si="124"/>
        <v>0</v>
      </c>
      <c r="FY62" s="16">
        <f t="shared" si="124"/>
        <v>0</v>
      </c>
      <c r="FZ62" s="16">
        <f t="shared" si="124"/>
        <v>0</v>
      </c>
      <c r="GA62" s="16">
        <f t="shared" si="124"/>
        <v>0</v>
      </c>
      <c r="GB62" s="16">
        <f t="shared" si="124"/>
        <v>0</v>
      </c>
      <c r="GC62" s="16">
        <f t="shared" si="124"/>
        <v>0</v>
      </c>
      <c r="GD62" s="16">
        <f t="shared" si="124"/>
        <v>0</v>
      </c>
      <c r="GE62" s="16">
        <f t="shared" si="124"/>
        <v>0</v>
      </c>
      <c r="GF62" s="16">
        <f t="shared" si="124"/>
        <v>0</v>
      </c>
      <c r="GG62" s="16">
        <f t="shared" si="124"/>
        <v>0</v>
      </c>
      <c r="GH62" s="16">
        <f t="shared" si="124"/>
        <v>0</v>
      </c>
      <c r="GI62" s="16">
        <f t="shared" si="124"/>
        <v>0</v>
      </c>
      <c r="GJ62" s="16">
        <f t="shared" si="124"/>
        <v>0</v>
      </c>
      <c r="GK62" s="16">
        <f t="shared" si="124"/>
        <v>0</v>
      </c>
      <c r="GL62" s="16">
        <f t="shared" si="124"/>
        <v>0</v>
      </c>
      <c r="GM62" s="16">
        <f t="shared" si="124"/>
        <v>0</v>
      </c>
      <c r="GN62" s="16">
        <f t="shared" si="124"/>
        <v>0</v>
      </c>
      <c r="GO62" s="16">
        <f t="shared" si="124"/>
        <v>0</v>
      </c>
    </row>
    <row r="63" spans="1:256" s="9" customFormat="1" ht="15">
      <c r="A63" s="55" t="s">
        <v>240</v>
      </c>
      <c r="B63" s="4">
        <v>25</v>
      </c>
      <c r="C63" s="12" t="s">
        <v>216</v>
      </c>
      <c r="O63" s="29"/>
      <c r="X63" s="29"/>
      <c r="AD63" s="29"/>
      <c r="AE63" s="29"/>
      <c r="BT63" s="31"/>
      <c r="BU63" s="31"/>
      <c r="BV63" s="31"/>
      <c r="CV63" s="30">
        <v>50</v>
      </c>
      <c r="CZ63" s="30">
        <v>120</v>
      </c>
      <c r="DA63" s="30">
        <v>50</v>
      </c>
      <c r="DB63" s="30">
        <v>41.9</v>
      </c>
      <c r="DP63" s="29"/>
      <c r="DQ63" s="29"/>
      <c r="DR63" s="29"/>
      <c r="DS63" s="29"/>
      <c r="DT63" s="29"/>
      <c r="DW63" s="30">
        <v>40</v>
      </c>
      <c r="DX63" s="30">
        <v>40</v>
      </c>
      <c r="DY63" s="30">
        <v>30</v>
      </c>
      <c r="DZ63" s="30">
        <v>32.4</v>
      </c>
      <c r="ER63" s="19">
        <v>79.3</v>
      </c>
      <c r="FR63" s="9">
        <v>100.6</v>
      </c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197" ht="15">
      <c r="A64" s="4"/>
      <c r="B64" s="4"/>
      <c r="C64" s="12" t="s">
        <v>217</v>
      </c>
      <c r="D64" s="14">
        <v>0</v>
      </c>
      <c r="E64" s="14">
        <f>D65</f>
        <v>0</v>
      </c>
      <c r="F64" s="14">
        <f aca="true" t="shared" si="125" ref="F64:BQ64">E65</f>
        <v>0</v>
      </c>
      <c r="G64" s="14">
        <f t="shared" si="125"/>
        <v>0</v>
      </c>
      <c r="H64" s="14">
        <f t="shared" si="125"/>
        <v>0</v>
      </c>
      <c r="I64" s="14">
        <f t="shared" si="125"/>
        <v>0</v>
      </c>
      <c r="J64" s="14">
        <f t="shared" si="125"/>
        <v>0</v>
      </c>
      <c r="K64" s="14">
        <f t="shared" si="125"/>
        <v>0</v>
      </c>
      <c r="L64" s="14">
        <f t="shared" si="125"/>
        <v>0</v>
      </c>
      <c r="M64" s="14">
        <f t="shared" si="125"/>
        <v>0</v>
      </c>
      <c r="N64" s="14">
        <f t="shared" si="125"/>
        <v>0</v>
      </c>
      <c r="O64" s="15">
        <f t="shared" si="125"/>
        <v>0</v>
      </c>
      <c r="P64" s="14">
        <f t="shared" si="125"/>
        <v>0</v>
      </c>
      <c r="Q64" s="14">
        <f t="shared" si="125"/>
        <v>0</v>
      </c>
      <c r="R64" s="14">
        <f t="shared" si="125"/>
        <v>0</v>
      </c>
      <c r="S64" s="14">
        <f t="shared" si="125"/>
        <v>0</v>
      </c>
      <c r="T64" s="14">
        <f t="shared" si="125"/>
        <v>0</v>
      </c>
      <c r="U64" s="14">
        <f t="shared" si="125"/>
        <v>0</v>
      </c>
      <c r="V64" s="14">
        <f t="shared" si="125"/>
        <v>0</v>
      </c>
      <c r="W64" s="14">
        <f t="shared" si="125"/>
        <v>0</v>
      </c>
      <c r="X64" s="15">
        <f t="shared" si="125"/>
        <v>0</v>
      </c>
      <c r="Y64" s="14">
        <f t="shared" si="125"/>
        <v>0</v>
      </c>
      <c r="Z64" s="14">
        <f t="shared" si="125"/>
        <v>0</v>
      </c>
      <c r="AA64" s="14">
        <f t="shared" si="125"/>
        <v>0</v>
      </c>
      <c r="AB64" s="14">
        <f t="shared" si="125"/>
        <v>0</v>
      </c>
      <c r="AC64" s="14">
        <f t="shared" si="125"/>
        <v>0</v>
      </c>
      <c r="AD64" s="15">
        <f t="shared" si="125"/>
        <v>0</v>
      </c>
      <c r="AE64" s="15">
        <f t="shared" si="125"/>
        <v>0</v>
      </c>
      <c r="AF64" s="14">
        <f t="shared" si="125"/>
        <v>0</v>
      </c>
      <c r="AG64" s="14">
        <f t="shared" si="125"/>
        <v>0</v>
      </c>
      <c r="AH64" s="14">
        <f t="shared" si="125"/>
        <v>0</v>
      </c>
      <c r="AI64" s="14">
        <f t="shared" si="125"/>
        <v>0</v>
      </c>
      <c r="AJ64" s="14">
        <f t="shared" si="125"/>
        <v>0</v>
      </c>
      <c r="AK64" s="14">
        <f t="shared" si="125"/>
        <v>0</v>
      </c>
      <c r="AL64" s="14">
        <f t="shared" si="125"/>
        <v>0</v>
      </c>
      <c r="AM64" s="14">
        <f t="shared" si="125"/>
        <v>0</v>
      </c>
      <c r="AN64" s="14">
        <f t="shared" si="125"/>
        <v>0</v>
      </c>
      <c r="AO64" s="14">
        <f t="shared" si="125"/>
        <v>0</v>
      </c>
      <c r="AP64" s="14">
        <f t="shared" si="125"/>
        <v>0</v>
      </c>
      <c r="AQ64" s="14">
        <f t="shared" si="125"/>
        <v>0</v>
      </c>
      <c r="AR64" s="14">
        <f t="shared" si="125"/>
        <v>0</v>
      </c>
      <c r="AS64" s="14">
        <f t="shared" si="125"/>
        <v>0</v>
      </c>
      <c r="AT64" s="14">
        <f t="shared" si="125"/>
        <v>0</v>
      </c>
      <c r="AU64" s="14">
        <f t="shared" si="125"/>
        <v>0</v>
      </c>
      <c r="AV64" s="14">
        <f t="shared" si="125"/>
        <v>0</v>
      </c>
      <c r="AW64" s="14">
        <f t="shared" si="125"/>
        <v>0</v>
      </c>
      <c r="AX64" s="14">
        <f t="shared" si="125"/>
        <v>0</v>
      </c>
      <c r="AY64" s="14">
        <f t="shared" si="125"/>
        <v>0</v>
      </c>
      <c r="AZ64" s="14">
        <f t="shared" si="125"/>
        <v>0</v>
      </c>
      <c r="BA64" s="14">
        <f t="shared" si="125"/>
        <v>0</v>
      </c>
      <c r="BB64" s="14">
        <f t="shared" si="125"/>
        <v>0</v>
      </c>
      <c r="BC64" s="14">
        <f t="shared" si="125"/>
        <v>0</v>
      </c>
      <c r="BD64" s="14">
        <f t="shared" si="125"/>
        <v>0</v>
      </c>
      <c r="BE64" s="14">
        <f t="shared" si="125"/>
        <v>0</v>
      </c>
      <c r="BF64" s="14">
        <f t="shared" si="125"/>
        <v>0</v>
      </c>
      <c r="BG64" s="14">
        <f t="shared" si="125"/>
        <v>0</v>
      </c>
      <c r="BH64" s="14">
        <f t="shared" si="125"/>
        <v>0</v>
      </c>
      <c r="BI64" s="14">
        <f t="shared" si="125"/>
        <v>0</v>
      </c>
      <c r="BJ64" s="14">
        <f t="shared" si="125"/>
        <v>0</v>
      </c>
      <c r="BK64" s="14">
        <f t="shared" si="125"/>
        <v>0</v>
      </c>
      <c r="BL64" s="14">
        <f t="shared" si="125"/>
        <v>0</v>
      </c>
      <c r="BM64" s="14">
        <f t="shared" si="125"/>
        <v>0</v>
      </c>
      <c r="BN64" s="14">
        <f t="shared" si="125"/>
        <v>0</v>
      </c>
      <c r="BO64" s="14">
        <f t="shared" si="125"/>
        <v>0</v>
      </c>
      <c r="BP64" s="14">
        <f t="shared" si="125"/>
        <v>0</v>
      </c>
      <c r="BQ64" s="14">
        <f t="shared" si="125"/>
        <v>0</v>
      </c>
      <c r="BR64" s="14">
        <f aca="true" t="shared" si="126" ref="BR64:EC64">BQ65</f>
        <v>0</v>
      </c>
      <c r="BS64" s="14">
        <f t="shared" si="126"/>
        <v>0</v>
      </c>
      <c r="BT64" s="26">
        <f t="shared" si="126"/>
        <v>0</v>
      </c>
      <c r="BU64" s="26">
        <f t="shared" si="126"/>
        <v>0</v>
      </c>
      <c r="BV64" s="26">
        <f t="shared" si="126"/>
        <v>0</v>
      </c>
      <c r="BW64" s="14">
        <f t="shared" si="126"/>
        <v>0</v>
      </c>
      <c r="BX64" s="14">
        <f t="shared" si="126"/>
        <v>0</v>
      </c>
      <c r="BY64" s="14">
        <f t="shared" si="126"/>
        <v>0</v>
      </c>
      <c r="BZ64" s="14">
        <f t="shared" si="126"/>
        <v>0</v>
      </c>
      <c r="CA64" s="14">
        <f t="shared" si="126"/>
        <v>0</v>
      </c>
      <c r="CB64" s="14">
        <f t="shared" si="126"/>
        <v>0</v>
      </c>
      <c r="CC64" s="14">
        <f t="shared" si="126"/>
        <v>0</v>
      </c>
      <c r="CD64" s="14">
        <f t="shared" si="126"/>
        <v>0</v>
      </c>
      <c r="CE64" s="14">
        <f t="shared" si="126"/>
        <v>0</v>
      </c>
      <c r="CF64" s="14">
        <f t="shared" si="126"/>
        <v>0</v>
      </c>
      <c r="CG64" s="14">
        <f t="shared" si="126"/>
        <v>0</v>
      </c>
      <c r="CH64" s="14">
        <f t="shared" si="126"/>
        <v>0</v>
      </c>
      <c r="CI64" s="14">
        <f t="shared" si="126"/>
        <v>0</v>
      </c>
      <c r="CJ64" s="14">
        <f t="shared" si="126"/>
        <v>0</v>
      </c>
      <c r="CK64" s="14">
        <f t="shared" si="126"/>
        <v>0</v>
      </c>
      <c r="CL64" s="14">
        <f t="shared" si="126"/>
        <v>0</v>
      </c>
      <c r="CM64" s="14">
        <f t="shared" si="126"/>
        <v>0</v>
      </c>
      <c r="CN64" s="14">
        <f t="shared" si="126"/>
        <v>0</v>
      </c>
      <c r="CO64" s="14">
        <f t="shared" si="126"/>
        <v>0</v>
      </c>
      <c r="CP64" s="14">
        <f t="shared" si="126"/>
        <v>0</v>
      </c>
      <c r="CQ64" s="14">
        <f t="shared" si="126"/>
        <v>0</v>
      </c>
      <c r="CR64" s="14">
        <f t="shared" si="126"/>
        <v>0</v>
      </c>
      <c r="CS64" s="14">
        <f t="shared" si="126"/>
        <v>0</v>
      </c>
      <c r="CT64" s="14">
        <f t="shared" si="126"/>
        <v>0</v>
      </c>
      <c r="CU64" s="14">
        <f t="shared" si="126"/>
        <v>0</v>
      </c>
      <c r="CV64" s="14">
        <f>CU65+243.1+18.8</f>
        <v>261.9</v>
      </c>
      <c r="CW64" s="14">
        <f t="shared" si="126"/>
        <v>211.89999999999998</v>
      </c>
      <c r="CX64" s="14">
        <f t="shared" si="126"/>
        <v>211.89999999999998</v>
      </c>
      <c r="CY64" s="14">
        <f t="shared" si="126"/>
        <v>211.89999999999998</v>
      </c>
      <c r="CZ64" s="14">
        <f t="shared" si="126"/>
        <v>211.89999999999998</v>
      </c>
      <c r="DA64" s="14">
        <f t="shared" si="126"/>
        <v>91.89999999999998</v>
      </c>
      <c r="DB64" s="14">
        <f t="shared" si="126"/>
        <v>41.89999999999998</v>
      </c>
      <c r="DC64" s="14">
        <f t="shared" si="126"/>
        <v>0</v>
      </c>
      <c r="DD64" s="14">
        <f t="shared" si="126"/>
        <v>0</v>
      </c>
      <c r="DE64" s="14">
        <f t="shared" si="126"/>
        <v>0</v>
      </c>
      <c r="DF64" s="14">
        <f t="shared" si="126"/>
        <v>0</v>
      </c>
      <c r="DG64" s="14">
        <f t="shared" si="126"/>
        <v>0</v>
      </c>
      <c r="DH64" s="14">
        <f t="shared" si="126"/>
        <v>0</v>
      </c>
      <c r="DI64" s="14">
        <f t="shared" si="126"/>
        <v>0</v>
      </c>
      <c r="DJ64" s="14">
        <f t="shared" si="126"/>
        <v>0</v>
      </c>
      <c r="DK64" s="14">
        <f t="shared" si="126"/>
        <v>0</v>
      </c>
      <c r="DL64" s="14">
        <f t="shared" si="126"/>
        <v>0</v>
      </c>
      <c r="DM64" s="14">
        <f t="shared" si="126"/>
        <v>0</v>
      </c>
      <c r="DN64" s="14">
        <f t="shared" si="126"/>
        <v>0</v>
      </c>
      <c r="DO64" s="14">
        <f t="shared" si="126"/>
        <v>0</v>
      </c>
      <c r="DP64" s="15">
        <f t="shared" si="126"/>
        <v>0</v>
      </c>
      <c r="DQ64" s="15">
        <f t="shared" si="126"/>
        <v>0</v>
      </c>
      <c r="DR64" s="15">
        <f t="shared" si="126"/>
        <v>0</v>
      </c>
      <c r="DS64" s="15">
        <f t="shared" si="126"/>
        <v>0</v>
      </c>
      <c r="DT64" s="15">
        <f t="shared" si="126"/>
        <v>0</v>
      </c>
      <c r="DU64" s="14">
        <f t="shared" si="126"/>
        <v>0</v>
      </c>
      <c r="DV64" s="14">
        <f t="shared" si="126"/>
        <v>0</v>
      </c>
      <c r="DW64" s="14">
        <f>DV65+142.4</f>
        <v>142.4</v>
      </c>
      <c r="DX64" s="14">
        <f t="shared" si="126"/>
        <v>102.4</v>
      </c>
      <c r="DY64" s="14">
        <f t="shared" si="126"/>
        <v>62.400000000000006</v>
      </c>
      <c r="DZ64" s="14">
        <f t="shared" si="126"/>
        <v>32.400000000000006</v>
      </c>
      <c r="EA64" s="14">
        <f t="shared" si="126"/>
        <v>0</v>
      </c>
      <c r="EB64" s="14">
        <f t="shared" si="126"/>
        <v>0</v>
      </c>
      <c r="EC64" s="14">
        <f t="shared" si="126"/>
        <v>0</v>
      </c>
      <c r="ED64" s="14">
        <f aca="true" t="shared" si="127" ref="ED64:GO64">EC65</f>
        <v>0</v>
      </c>
      <c r="EE64" s="14">
        <f t="shared" si="127"/>
        <v>0</v>
      </c>
      <c r="EF64" s="14">
        <f t="shared" si="127"/>
        <v>0</v>
      </c>
      <c r="EG64" s="14">
        <f t="shared" si="127"/>
        <v>0</v>
      </c>
      <c r="EH64" s="14">
        <f t="shared" si="127"/>
        <v>0</v>
      </c>
      <c r="EI64" s="14">
        <f t="shared" si="127"/>
        <v>0</v>
      </c>
      <c r="EJ64" s="14">
        <f t="shared" si="127"/>
        <v>0</v>
      </c>
      <c r="EK64" s="14">
        <f t="shared" si="127"/>
        <v>0</v>
      </c>
      <c r="EL64" s="14">
        <f t="shared" si="127"/>
        <v>0</v>
      </c>
      <c r="EM64" s="14">
        <f t="shared" si="127"/>
        <v>0</v>
      </c>
      <c r="EN64" s="14">
        <f>EM65+79.3</f>
        <v>79.3</v>
      </c>
      <c r="EO64" s="14">
        <f t="shared" si="127"/>
        <v>79.3</v>
      </c>
      <c r="EP64" s="14">
        <f t="shared" si="127"/>
        <v>79.3</v>
      </c>
      <c r="EQ64" s="14">
        <f t="shared" si="127"/>
        <v>79.3</v>
      </c>
      <c r="ER64" s="14">
        <f>EQ65</f>
        <v>79.3</v>
      </c>
      <c r="ES64" s="14">
        <f>ER65</f>
        <v>0</v>
      </c>
      <c r="ET64" s="14">
        <f>ES65</f>
        <v>0</v>
      </c>
      <c r="EU64" s="14">
        <f t="shared" si="127"/>
        <v>0</v>
      </c>
      <c r="EV64" s="14">
        <f t="shared" si="127"/>
        <v>0</v>
      </c>
      <c r="EW64" s="14">
        <f t="shared" si="127"/>
        <v>0</v>
      </c>
      <c r="EX64" s="14">
        <f t="shared" si="127"/>
        <v>0</v>
      </c>
      <c r="EY64" s="14">
        <f t="shared" si="127"/>
        <v>0</v>
      </c>
      <c r="EZ64" s="14">
        <f t="shared" si="127"/>
        <v>0</v>
      </c>
      <c r="FA64" s="14">
        <f t="shared" si="127"/>
        <v>0</v>
      </c>
      <c r="FB64" s="14">
        <f t="shared" si="127"/>
        <v>0</v>
      </c>
      <c r="FC64" s="14">
        <f t="shared" si="127"/>
        <v>0</v>
      </c>
      <c r="FD64" s="14">
        <f t="shared" si="127"/>
        <v>0</v>
      </c>
      <c r="FE64" s="14">
        <f t="shared" si="127"/>
        <v>0</v>
      </c>
      <c r="FF64" s="14">
        <f>FE65+100.6</f>
        <v>100.6</v>
      </c>
      <c r="FG64" s="14">
        <f t="shared" si="127"/>
        <v>100.6</v>
      </c>
      <c r="FH64" s="14">
        <f t="shared" si="127"/>
        <v>100.6</v>
      </c>
      <c r="FI64" s="14">
        <f t="shared" si="127"/>
        <v>100.6</v>
      </c>
      <c r="FJ64" s="14">
        <f t="shared" si="127"/>
        <v>100.6</v>
      </c>
      <c r="FK64" s="14">
        <f t="shared" si="127"/>
        <v>100.6</v>
      </c>
      <c r="FL64" s="14">
        <f t="shared" si="127"/>
        <v>100.6</v>
      </c>
      <c r="FM64" s="14">
        <f t="shared" si="127"/>
        <v>100.6</v>
      </c>
      <c r="FN64" s="14">
        <f t="shared" si="127"/>
        <v>100.6</v>
      </c>
      <c r="FO64" s="14">
        <f t="shared" si="127"/>
        <v>100.6</v>
      </c>
      <c r="FP64" s="14">
        <f t="shared" si="127"/>
        <v>100.6</v>
      </c>
      <c r="FQ64" s="14">
        <f t="shared" si="127"/>
        <v>100.6</v>
      </c>
      <c r="FR64" s="14">
        <f t="shared" si="127"/>
        <v>100.6</v>
      </c>
      <c r="FS64" s="14">
        <f t="shared" si="127"/>
        <v>0</v>
      </c>
      <c r="FT64" s="14">
        <f t="shared" si="127"/>
        <v>0</v>
      </c>
      <c r="FU64" s="14">
        <f t="shared" si="127"/>
        <v>0</v>
      </c>
      <c r="FV64" s="14">
        <f>FU65+175.5</f>
        <v>175.5</v>
      </c>
      <c r="FW64" s="14">
        <f t="shared" si="127"/>
        <v>175.5</v>
      </c>
      <c r="FX64" s="14">
        <f t="shared" si="127"/>
        <v>175.5</v>
      </c>
      <c r="FY64" s="14">
        <f t="shared" si="127"/>
        <v>175.5</v>
      </c>
      <c r="FZ64" s="14">
        <f t="shared" si="127"/>
        <v>175.5</v>
      </c>
      <c r="GA64" s="14">
        <f t="shared" si="127"/>
        <v>175.5</v>
      </c>
      <c r="GB64" s="14">
        <f t="shared" si="127"/>
        <v>175.5</v>
      </c>
      <c r="GC64" s="14">
        <f t="shared" si="127"/>
        <v>175.5</v>
      </c>
      <c r="GD64" s="14">
        <f t="shared" si="127"/>
        <v>175.5</v>
      </c>
      <c r="GE64" s="14">
        <f t="shared" si="127"/>
        <v>175.5</v>
      </c>
      <c r="GF64" s="14">
        <f t="shared" si="127"/>
        <v>175.5</v>
      </c>
      <c r="GG64" s="14">
        <f t="shared" si="127"/>
        <v>175.5</v>
      </c>
      <c r="GH64" s="14">
        <f t="shared" si="127"/>
        <v>175.5</v>
      </c>
      <c r="GI64" s="14">
        <f t="shared" si="127"/>
        <v>175.5</v>
      </c>
      <c r="GJ64" s="14">
        <f t="shared" si="127"/>
        <v>175.5</v>
      </c>
      <c r="GK64" s="14">
        <f t="shared" si="127"/>
        <v>175.5</v>
      </c>
      <c r="GL64" s="14">
        <f t="shared" si="127"/>
        <v>175.5</v>
      </c>
      <c r="GM64" s="14">
        <f t="shared" si="127"/>
        <v>175.5</v>
      </c>
      <c r="GN64" s="14">
        <f t="shared" si="127"/>
        <v>175.5</v>
      </c>
      <c r="GO64" s="14">
        <f t="shared" si="127"/>
        <v>175.5</v>
      </c>
    </row>
    <row r="65" spans="1:197" ht="15">
      <c r="A65" s="4"/>
      <c r="B65" s="4"/>
      <c r="C65" s="12" t="s">
        <v>218</v>
      </c>
      <c r="D65" s="16">
        <f>D64-D63</f>
        <v>0</v>
      </c>
      <c r="E65" s="16">
        <f>E64-E63</f>
        <v>0</v>
      </c>
      <c r="F65" s="16">
        <f aca="true" t="shared" si="128" ref="F65:BQ65">F64-F63</f>
        <v>0</v>
      </c>
      <c r="G65" s="16">
        <f t="shared" si="128"/>
        <v>0</v>
      </c>
      <c r="H65" s="16">
        <f t="shared" si="128"/>
        <v>0</v>
      </c>
      <c r="I65" s="16">
        <f t="shared" si="128"/>
        <v>0</v>
      </c>
      <c r="J65" s="16">
        <f t="shared" si="128"/>
        <v>0</v>
      </c>
      <c r="K65" s="16">
        <f t="shared" si="128"/>
        <v>0</v>
      </c>
      <c r="L65" s="16">
        <f t="shared" si="128"/>
        <v>0</v>
      </c>
      <c r="M65" s="16">
        <f t="shared" si="128"/>
        <v>0</v>
      </c>
      <c r="N65" s="16">
        <f t="shared" si="128"/>
        <v>0</v>
      </c>
      <c r="O65" s="17">
        <f t="shared" si="128"/>
        <v>0</v>
      </c>
      <c r="P65" s="16">
        <f t="shared" si="128"/>
        <v>0</v>
      </c>
      <c r="Q65" s="16">
        <f t="shared" si="128"/>
        <v>0</v>
      </c>
      <c r="R65" s="16">
        <f t="shared" si="128"/>
        <v>0</v>
      </c>
      <c r="S65" s="16">
        <f t="shared" si="128"/>
        <v>0</v>
      </c>
      <c r="T65" s="16">
        <f t="shared" si="128"/>
        <v>0</v>
      </c>
      <c r="U65" s="16">
        <f t="shared" si="128"/>
        <v>0</v>
      </c>
      <c r="V65" s="16">
        <f t="shared" si="128"/>
        <v>0</v>
      </c>
      <c r="W65" s="16">
        <f t="shared" si="128"/>
        <v>0</v>
      </c>
      <c r="X65" s="17">
        <f t="shared" si="128"/>
        <v>0</v>
      </c>
      <c r="Y65" s="16">
        <f t="shared" si="128"/>
        <v>0</v>
      </c>
      <c r="Z65" s="16">
        <f t="shared" si="128"/>
        <v>0</v>
      </c>
      <c r="AA65" s="16">
        <f t="shared" si="128"/>
        <v>0</v>
      </c>
      <c r="AB65" s="16">
        <f t="shared" si="128"/>
        <v>0</v>
      </c>
      <c r="AC65" s="16">
        <f t="shared" si="128"/>
        <v>0</v>
      </c>
      <c r="AD65" s="17">
        <f t="shared" si="128"/>
        <v>0</v>
      </c>
      <c r="AE65" s="17">
        <f t="shared" si="128"/>
        <v>0</v>
      </c>
      <c r="AF65" s="16">
        <f t="shared" si="128"/>
        <v>0</v>
      </c>
      <c r="AG65" s="16">
        <f t="shared" si="128"/>
        <v>0</v>
      </c>
      <c r="AH65" s="16">
        <f t="shared" si="128"/>
        <v>0</v>
      </c>
      <c r="AI65" s="16">
        <f t="shared" si="128"/>
        <v>0</v>
      </c>
      <c r="AJ65" s="16">
        <f t="shared" si="128"/>
        <v>0</v>
      </c>
      <c r="AK65" s="16">
        <f t="shared" si="128"/>
        <v>0</v>
      </c>
      <c r="AL65" s="16">
        <f t="shared" si="128"/>
        <v>0</v>
      </c>
      <c r="AM65" s="16">
        <f t="shared" si="128"/>
        <v>0</v>
      </c>
      <c r="AN65" s="16">
        <f t="shared" si="128"/>
        <v>0</v>
      </c>
      <c r="AO65" s="16">
        <f t="shared" si="128"/>
        <v>0</v>
      </c>
      <c r="AP65" s="16">
        <f t="shared" si="128"/>
        <v>0</v>
      </c>
      <c r="AQ65" s="16">
        <f t="shared" si="128"/>
        <v>0</v>
      </c>
      <c r="AR65" s="16">
        <f t="shared" si="128"/>
        <v>0</v>
      </c>
      <c r="AS65" s="16">
        <f t="shared" si="128"/>
        <v>0</v>
      </c>
      <c r="AT65" s="16">
        <f t="shared" si="128"/>
        <v>0</v>
      </c>
      <c r="AU65" s="16">
        <f t="shared" si="128"/>
        <v>0</v>
      </c>
      <c r="AV65" s="16">
        <f t="shared" si="128"/>
        <v>0</v>
      </c>
      <c r="AW65" s="16">
        <f t="shared" si="128"/>
        <v>0</v>
      </c>
      <c r="AX65" s="16">
        <f t="shared" si="128"/>
        <v>0</v>
      </c>
      <c r="AY65" s="16">
        <f t="shared" si="128"/>
        <v>0</v>
      </c>
      <c r="AZ65" s="16">
        <f t="shared" si="128"/>
        <v>0</v>
      </c>
      <c r="BA65" s="16">
        <f t="shared" si="128"/>
        <v>0</v>
      </c>
      <c r="BB65" s="16">
        <f t="shared" si="128"/>
        <v>0</v>
      </c>
      <c r="BC65" s="16">
        <f t="shared" si="128"/>
        <v>0</v>
      </c>
      <c r="BD65" s="16">
        <f t="shared" si="128"/>
        <v>0</v>
      </c>
      <c r="BE65" s="16">
        <f t="shared" si="128"/>
        <v>0</v>
      </c>
      <c r="BF65" s="16">
        <f t="shared" si="128"/>
        <v>0</v>
      </c>
      <c r="BG65" s="16">
        <f t="shared" si="128"/>
        <v>0</v>
      </c>
      <c r="BH65" s="16">
        <f t="shared" si="128"/>
        <v>0</v>
      </c>
      <c r="BI65" s="16">
        <f t="shared" si="128"/>
        <v>0</v>
      </c>
      <c r="BJ65" s="16">
        <f t="shared" si="128"/>
        <v>0</v>
      </c>
      <c r="BK65" s="16">
        <f t="shared" si="128"/>
        <v>0</v>
      </c>
      <c r="BL65" s="16">
        <f t="shared" si="128"/>
        <v>0</v>
      </c>
      <c r="BM65" s="16">
        <f t="shared" si="128"/>
        <v>0</v>
      </c>
      <c r="BN65" s="16">
        <f t="shared" si="128"/>
        <v>0</v>
      </c>
      <c r="BO65" s="16">
        <f t="shared" si="128"/>
        <v>0</v>
      </c>
      <c r="BP65" s="16">
        <f t="shared" si="128"/>
        <v>0</v>
      </c>
      <c r="BQ65" s="16">
        <f t="shared" si="128"/>
        <v>0</v>
      </c>
      <c r="BR65" s="16">
        <f aca="true" t="shared" si="129" ref="BR65:EC65">BR64-BR63</f>
        <v>0</v>
      </c>
      <c r="BS65" s="16">
        <f t="shared" si="129"/>
        <v>0</v>
      </c>
      <c r="BT65" s="27">
        <f t="shared" si="129"/>
        <v>0</v>
      </c>
      <c r="BU65" s="27">
        <f t="shared" si="129"/>
        <v>0</v>
      </c>
      <c r="BV65" s="27">
        <f t="shared" si="129"/>
        <v>0</v>
      </c>
      <c r="BW65" s="16">
        <f t="shared" si="129"/>
        <v>0</v>
      </c>
      <c r="BX65" s="16">
        <f t="shared" si="129"/>
        <v>0</v>
      </c>
      <c r="BY65" s="16">
        <f t="shared" si="129"/>
        <v>0</v>
      </c>
      <c r="BZ65" s="16">
        <f t="shared" si="129"/>
        <v>0</v>
      </c>
      <c r="CA65" s="16">
        <f t="shared" si="129"/>
        <v>0</v>
      </c>
      <c r="CB65" s="16">
        <f t="shared" si="129"/>
        <v>0</v>
      </c>
      <c r="CC65" s="16">
        <f t="shared" si="129"/>
        <v>0</v>
      </c>
      <c r="CD65" s="16">
        <f t="shared" si="129"/>
        <v>0</v>
      </c>
      <c r="CE65" s="16">
        <f t="shared" si="129"/>
        <v>0</v>
      </c>
      <c r="CF65" s="16">
        <f t="shared" si="129"/>
        <v>0</v>
      </c>
      <c r="CG65" s="16">
        <f t="shared" si="129"/>
        <v>0</v>
      </c>
      <c r="CH65" s="16">
        <f t="shared" si="129"/>
        <v>0</v>
      </c>
      <c r="CI65" s="16">
        <f t="shared" si="129"/>
        <v>0</v>
      </c>
      <c r="CJ65" s="16">
        <f t="shared" si="129"/>
        <v>0</v>
      </c>
      <c r="CK65" s="16">
        <f t="shared" si="129"/>
        <v>0</v>
      </c>
      <c r="CL65" s="16">
        <f t="shared" si="129"/>
        <v>0</v>
      </c>
      <c r="CM65" s="16">
        <f t="shared" si="129"/>
        <v>0</v>
      </c>
      <c r="CN65" s="16">
        <f t="shared" si="129"/>
        <v>0</v>
      </c>
      <c r="CO65" s="16">
        <f t="shared" si="129"/>
        <v>0</v>
      </c>
      <c r="CP65" s="16">
        <f t="shared" si="129"/>
        <v>0</v>
      </c>
      <c r="CQ65" s="16">
        <f t="shared" si="129"/>
        <v>0</v>
      </c>
      <c r="CR65" s="16">
        <f t="shared" si="129"/>
        <v>0</v>
      </c>
      <c r="CS65" s="16">
        <f t="shared" si="129"/>
        <v>0</v>
      </c>
      <c r="CT65" s="16">
        <f t="shared" si="129"/>
        <v>0</v>
      </c>
      <c r="CU65" s="16">
        <f t="shared" si="129"/>
        <v>0</v>
      </c>
      <c r="CV65" s="16">
        <f t="shared" si="129"/>
        <v>211.89999999999998</v>
      </c>
      <c r="CW65" s="16">
        <f t="shared" si="129"/>
        <v>211.89999999999998</v>
      </c>
      <c r="CX65" s="16">
        <f t="shared" si="129"/>
        <v>211.89999999999998</v>
      </c>
      <c r="CY65" s="16">
        <f t="shared" si="129"/>
        <v>211.89999999999998</v>
      </c>
      <c r="CZ65" s="16">
        <f t="shared" si="129"/>
        <v>91.89999999999998</v>
      </c>
      <c r="DA65" s="16">
        <f t="shared" si="129"/>
        <v>41.89999999999998</v>
      </c>
      <c r="DB65" s="16">
        <f t="shared" si="129"/>
        <v>0</v>
      </c>
      <c r="DC65" s="16">
        <f t="shared" si="129"/>
        <v>0</v>
      </c>
      <c r="DD65" s="16">
        <f t="shared" si="129"/>
        <v>0</v>
      </c>
      <c r="DE65" s="16">
        <f t="shared" si="129"/>
        <v>0</v>
      </c>
      <c r="DF65" s="16">
        <f t="shared" si="129"/>
        <v>0</v>
      </c>
      <c r="DG65" s="16">
        <f t="shared" si="129"/>
        <v>0</v>
      </c>
      <c r="DH65" s="16">
        <f t="shared" si="129"/>
        <v>0</v>
      </c>
      <c r="DI65" s="16">
        <f t="shared" si="129"/>
        <v>0</v>
      </c>
      <c r="DJ65" s="16">
        <f t="shared" si="129"/>
        <v>0</v>
      </c>
      <c r="DK65" s="16">
        <f t="shared" si="129"/>
        <v>0</v>
      </c>
      <c r="DL65" s="16">
        <f t="shared" si="129"/>
        <v>0</v>
      </c>
      <c r="DM65" s="16">
        <f t="shared" si="129"/>
        <v>0</v>
      </c>
      <c r="DN65" s="16">
        <f t="shared" si="129"/>
        <v>0</v>
      </c>
      <c r="DO65" s="16">
        <f t="shared" si="129"/>
        <v>0</v>
      </c>
      <c r="DP65" s="17">
        <f t="shared" si="129"/>
        <v>0</v>
      </c>
      <c r="DQ65" s="17">
        <f t="shared" si="129"/>
        <v>0</v>
      </c>
      <c r="DR65" s="17">
        <f t="shared" si="129"/>
        <v>0</v>
      </c>
      <c r="DS65" s="17">
        <f t="shared" si="129"/>
        <v>0</v>
      </c>
      <c r="DT65" s="17">
        <f t="shared" si="129"/>
        <v>0</v>
      </c>
      <c r="DU65" s="16">
        <f t="shared" si="129"/>
        <v>0</v>
      </c>
      <c r="DV65" s="16">
        <f t="shared" si="129"/>
        <v>0</v>
      </c>
      <c r="DW65" s="16">
        <f t="shared" si="129"/>
        <v>102.4</v>
      </c>
      <c r="DX65" s="16">
        <f t="shared" si="129"/>
        <v>62.400000000000006</v>
      </c>
      <c r="DY65" s="16">
        <f t="shared" si="129"/>
        <v>32.400000000000006</v>
      </c>
      <c r="DZ65" s="16">
        <f t="shared" si="129"/>
        <v>0</v>
      </c>
      <c r="EA65" s="16">
        <f t="shared" si="129"/>
        <v>0</v>
      </c>
      <c r="EB65" s="16">
        <f t="shared" si="129"/>
        <v>0</v>
      </c>
      <c r="EC65" s="16">
        <f t="shared" si="129"/>
        <v>0</v>
      </c>
      <c r="ED65" s="16">
        <f aca="true" t="shared" si="130" ref="ED65:GO65">ED64-ED63</f>
        <v>0</v>
      </c>
      <c r="EE65" s="16">
        <f t="shared" si="130"/>
        <v>0</v>
      </c>
      <c r="EF65" s="16">
        <f t="shared" si="130"/>
        <v>0</v>
      </c>
      <c r="EG65" s="16">
        <f t="shared" si="130"/>
        <v>0</v>
      </c>
      <c r="EH65" s="16">
        <f t="shared" si="130"/>
        <v>0</v>
      </c>
      <c r="EI65" s="16">
        <f t="shared" si="130"/>
        <v>0</v>
      </c>
      <c r="EJ65" s="16">
        <f t="shared" si="130"/>
        <v>0</v>
      </c>
      <c r="EK65" s="16">
        <f t="shared" si="130"/>
        <v>0</v>
      </c>
      <c r="EL65" s="16">
        <f t="shared" si="130"/>
        <v>0</v>
      </c>
      <c r="EM65" s="16">
        <f t="shared" si="130"/>
        <v>0</v>
      </c>
      <c r="EN65" s="16">
        <f t="shared" si="130"/>
        <v>79.3</v>
      </c>
      <c r="EO65" s="16">
        <f t="shared" si="130"/>
        <v>79.3</v>
      </c>
      <c r="EP65" s="16">
        <f t="shared" si="130"/>
        <v>79.3</v>
      </c>
      <c r="EQ65" s="16">
        <f t="shared" si="130"/>
        <v>79.3</v>
      </c>
      <c r="ER65" s="16">
        <f t="shared" si="130"/>
        <v>0</v>
      </c>
      <c r="ES65" s="16">
        <f t="shared" si="130"/>
        <v>0</v>
      </c>
      <c r="ET65" s="16">
        <f t="shared" si="130"/>
        <v>0</v>
      </c>
      <c r="EU65" s="16">
        <f t="shared" si="130"/>
        <v>0</v>
      </c>
      <c r="EV65" s="16">
        <f t="shared" si="130"/>
        <v>0</v>
      </c>
      <c r="EW65" s="16">
        <f t="shared" si="130"/>
        <v>0</v>
      </c>
      <c r="EX65" s="16">
        <f t="shared" si="130"/>
        <v>0</v>
      </c>
      <c r="EY65" s="16">
        <f t="shared" si="130"/>
        <v>0</v>
      </c>
      <c r="EZ65" s="16">
        <f t="shared" si="130"/>
        <v>0</v>
      </c>
      <c r="FA65" s="16">
        <f t="shared" si="130"/>
        <v>0</v>
      </c>
      <c r="FB65" s="16">
        <f t="shared" si="130"/>
        <v>0</v>
      </c>
      <c r="FC65" s="16">
        <f t="shared" si="130"/>
        <v>0</v>
      </c>
      <c r="FD65" s="16">
        <f t="shared" si="130"/>
        <v>0</v>
      </c>
      <c r="FE65" s="16">
        <f t="shared" si="130"/>
        <v>0</v>
      </c>
      <c r="FF65" s="16">
        <f t="shared" si="130"/>
        <v>100.6</v>
      </c>
      <c r="FG65" s="16">
        <f t="shared" si="130"/>
        <v>100.6</v>
      </c>
      <c r="FH65" s="16">
        <f t="shared" si="130"/>
        <v>100.6</v>
      </c>
      <c r="FI65" s="16">
        <f t="shared" si="130"/>
        <v>100.6</v>
      </c>
      <c r="FJ65" s="16">
        <f t="shared" si="130"/>
        <v>100.6</v>
      </c>
      <c r="FK65" s="16">
        <f t="shared" si="130"/>
        <v>100.6</v>
      </c>
      <c r="FL65" s="16">
        <f t="shared" si="130"/>
        <v>100.6</v>
      </c>
      <c r="FM65" s="16">
        <f t="shared" si="130"/>
        <v>100.6</v>
      </c>
      <c r="FN65" s="16">
        <f t="shared" si="130"/>
        <v>100.6</v>
      </c>
      <c r="FO65" s="16">
        <f t="shared" si="130"/>
        <v>100.6</v>
      </c>
      <c r="FP65" s="16">
        <f t="shared" si="130"/>
        <v>100.6</v>
      </c>
      <c r="FQ65" s="16">
        <f t="shared" si="130"/>
        <v>100.6</v>
      </c>
      <c r="FR65" s="16">
        <f t="shared" si="130"/>
        <v>0</v>
      </c>
      <c r="FS65" s="16">
        <f t="shared" si="130"/>
        <v>0</v>
      </c>
      <c r="FT65" s="16">
        <f t="shared" si="130"/>
        <v>0</v>
      </c>
      <c r="FU65" s="16">
        <f t="shared" si="130"/>
        <v>0</v>
      </c>
      <c r="FV65" s="16">
        <f t="shared" si="130"/>
        <v>175.5</v>
      </c>
      <c r="FW65" s="16">
        <f t="shared" si="130"/>
        <v>175.5</v>
      </c>
      <c r="FX65" s="16">
        <f t="shared" si="130"/>
        <v>175.5</v>
      </c>
      <c r="FY65" s="16">
        <f t="shared" si="130"/>
        <v>175.5</v>
      </c>
      <c r="FZ65" s="16">
        <f t="shared" si="130"/>
        <v>175.5</v>
      </c>
      <c r="GA65" s="16">
        <f t="shared" si="130"/>
        <v>175.5</v>
      </c>
      <c r="GB65" s="16">
        <f t="shared" si="130"/>
        <v>175.5</v>
      </c>
      <c r="GC65" s="16">
        <f t="shared" si="130"/>
        <v>175.5</v>
      </c>
      <c r="GD65" s="16">
        <f t="shared" si="130"/>
        <v>175.5</v>
      </c>
      <c r="GE65" s="16">
        <f t="shared" si="130"/>
        <v>175.5</v>
      </c>
      <c r="GF65" s="16">
        <f t="shared" si="130"/>
        <v>175.5</v>
      </c>
      <c r="GG65" s="16">
        <f t="shared" si="130"/>
        <v>175.5</v>
      </c>
      <c r="GH65" s="16">
        <f t="shared" si="130"/>
        <v>175.5</v>
      </c>
      <c r="GI65" s="16">
        <f t="shared" si="130"/>
        <v>175.5</v>
      </c>
      <c r="GJ65" s="16">
        <f t="shared" si="130"/>
        <v>175.5</v>
      </c>
      <c r="GK65" s="16">
        <f t="shared" si="130"/>
        <v>175.5</v>
      </c>
      <c r="GL65" s="16">
        <f t="shared" si="130"/>
        <v>175.5</v>
      </c>
      <c r="GM65" s="16">
        <f t="shared" si="130"/>
        <v>175.5</v>
      </c>
      <c r="GN65" s="16">
        <f t="shared" si="130"/>
        <v>175.5</v>
      </c>
      <c r="GO65" s="16">
        <f t="shared" si="130"/>
        <v>175.5</v>
      </c>
    </row>
    <row r="66" spans="1:256" s="9" customFormat="1" ht="15">
      <c r="A66" s="4" t="s">
        <v>241</v>
      </c>
      <c r="B66" s="4">
        <v>28</v>
      </c>
      <c r="C66" s="12" t="s">
        <v>216</v>
      </c>
      <c r="F66" s="19">
        <v>30</v>
      </c>
      <c r="O66" s="19">
        <v>70</v>
      </c>
      <c r="R66" s="19">
        <v>41.9</v>
      </c>
      <c r="X66" s="29"/>
      <c r="AA66" s="29"/>
      <c r="AB66" s="19">
        <v>35</v>
      </c>
      <c r="AD66" s="19">
        <v>35.2</v>
      </c>
      <c r="AE66" s="29"/>
      <c r="AH66" s="19">
        <v>28.7</v>
      </c>
      <c r="AQ66" s="19">
        <v>100.5</v>
      </c>
      <c r="BP66" s="19">
        <v>102.7</v>
      </c>
      <c r="BT66" s="31"/>
      <c r="BU66" s="31"/>
      <c r="BV66" s="31"/>
      <c r="CD66" s="30">
        <v>35</v>
      </c>
      <c r="CF66" s="30">
        <v>30</v>
      </c>
      <c r="CG66" s="30">
        <v>30</v>
      </c>
      <c r="CH66" s="30">
        <v>30</v>
      </c>
      <c r="CJ66" s="19">
        <v>34.6</v>
      </c>
      <c r="CR66" s="30">
        <v>30</v>
      </c>
      <c r="CS66" s="30">
        <v>30</v>
      </c>
      <c r="CT66" s="30">
        <v>36.6</v>
      </c>
      <c r="DP66" s="19">
        <v>55.4</v>
      </c>
      <c r="DQ66" s="29"/>
      <c r="DR66" s="29"/>
      <c r="DS66" s="29"/>
      <c r="DT66" s="29"/>
      <c r="DY66" s="30">
        <v>30</v>
      </c>
      <c r="DZ66" s="30">
        <v>40</v>
      </c>
      <c r="EB66" s="30">
        <v>30</v>
      </c>
      <c r="EC66" s="30">
        <v>30</v>
      </c>
      <c r="ET66" s="30">
        <v>40</v>
      </c>
      <c r="EU66" s="30">
        <v>45</v>
      </c>
      <c r="EV66" s="30">
        <v>40</v>
      </c>
      <c r="EZ66" s="19">
        <v>9.4</v>
      </c>
      <c r="FR66" s="9">
        <v>59.8</v>
      </c>
      <c r="GA66" s="9">
        <v>60</v>
      </c>
      <c r="GB66" s="9">
        <v>59.7</v>
      </c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197" s="42" customFormat="1" ht="15">
      <c r="A67" s="35"/>
      <c r="B67" s="35"/>
      <c r="C67" s="24" t="s">
        <v>217</v>
      </c>
      <c r="D67" s="25">
        <v>101.8</v>
      </c>
      <c r="E67" s="25">
        <f>D68</f>
        <v>101.8</v>
      </c>
      <c r="F67" s="25">
        <f aca="true" t="shared" si="131" ref="F67:BQ67">E68</f>
        <v>101.8</v>
      </c>
      <c r="G67" s="25">
        <f t="shared" si="131"/>
        <v>71.8</v>
      </c>
      <c r="H67" s="25">
        <f t="shared" si="131"/>
        <v>71.8</v>
      </c>
      <c r="I67" s="25">
        <f t="shared" si="131"/>
        <v>71.8</v>
      </c>
      <c r="J67" s="25">
        <f t="shared" si="131"/>
        <v>71.8</v>
      </c>
      <c r="K67" s="25">
        <f t="shared" si="131"/>
        <v>71.8</v>
      </c>
      <c r="L67" s="25">
        <f t="shared" si="131"/>
        <v>71.8</v>
      </c>
      <c r="M67" s="25">
        <f t="shared" si="131"/>
        <v>71.8</v>
      </c>
      <c r="N67" s="25">
        <f>M68+55.5</f>
        <v>127.3</v>
      </c>
      <c r="O67" s="37">
        <f t="shared" si="131"/>
        <v>127.3</v>
      </c>
      <c r="P67" s="25">
        <f t="shared" si="131"/>
        <v>57.3</v>
      </c>
      <c r="Q67" s="25">
        <f t="shared" si="131"/>
        <v>57.3</v>
      </c>
      <c r="R67" s="25">
        <f t="shared" si="131"/>
        <v>57.3</v>
      </c>
      <c r="S67" s="25">
        <f t="shared" si="131"/>
        <v>15.399999999999999</v>
      </c>
      <c r="T67" s="25">
        <f t="shared" si="131"/>
        <v>15.399999999999999</v>
      </c>
      <c r="U67" s="25">
        <f t="shared" si="131"/>
        <v>15.399999999999999</v>
      </c>
      <c r="V67" s="25">
        <f t="shared" si="131"/>
        <v>15.399999999999999</v>
      </c>
      <c r="W67" s="25">
        <f t="shared" si="131"/>
        <v>15.399999999999999</v>
      </c>
      <c r="X67" s="37">
        <f t="shared" si="131"/>
        <v>15.399999999999999</v>
      </c>
      <c r="Y67" s="25">
        <f>X68+70.2+28.7</f>
        <v>114.3</v>
      </c>
      <c r="Z67" s="25">
        <f t="shared" si="131"/>
        <v>114.3</v>
      </c>
      <c r="AA67" s="25">
        <f t="shared" si="131"/>
        <v>114.3</v>
      </c>
      <c r="AB67" s="25">
        <f t="shared" si="131"/>
        <v>114.3</v>
      </c>
      <c r="AC67" s="25">
        <f t="shared" si="131"/>
        <v>79.3</v>
      </c>
      <c r="AD67" s="37">
        <f t="shared" si="131"/>
        <v>79.3</v>
      </c>
      <c r="AE67" s="37">
        <f t="shared" si="131"/>
        <v>44.099999999999994</v>
      </c>
      <c r="AF67" s="25">
        <f t="shared" si="131"/>
        <v>44.099999999999994</v>
      </c>
      <c r="AG67" s="25">
        <f t="shared" si="131"/>
        <v>44.099999999999994</v>
      </c>
      <c r="AH67" s="25">
        <f t="shared" si="131"/>
        <v>44.099999999999994</v>
      </c>
      <c r="AI67" s="25">
        <f t="shared" si="131"/>
        <v>15.399999999999995</v>
      </c>
      <c r="AJ67" s="25">
        <f t="shared" si="131"/>
        <v>15.399999999999995</v>
      </c>
      <c r="AK67" s="25">
        <f t="shared" si="131"/>
        <v>15.399999999999995</v>
      </c>
      <c r="AL67" s="25">
        <f t="shared" si="131"/>
        <v>15.399999999999995</v>
      </c>
      <c r="AM67" s="25">
        <f t="shared" si="131"/>
        <v>15.399999999999995</v>
      </c>
      <c r="AN67" s="25">
        <f t="shared" si="131"/>
        <v>15.399999999999995</v>
      </c>
      <c r="AO67" s="25">
        <f t="shared" si="131"/>
        <v>15.399999999999995</v>
      </c>
      <c r="AP67" s="25">
        <f>AO68+47.1+53.3</f>
        <v>115.8</v>
      </c>
      <c r="AQ67" s="25">
        <f t="shared" si="131"/>
        <v>115.8</v>
      </c>
      <c r="AR67" s="25">
        <f t="shared" si="131"/>
        <v>15.299999999999997</v>
      </c>
      <c r="AS67" s="25">
        <f t="shared" si="131"/>
        <v>15.299999999999997</v>
      </c>
      <c r="AT67" s="25">
        <f t="shared" si="131"/>
        <v>15.299999999999997</v>
      </c>
      <c r="AU67" s="25">
        <f t="shared" si="131"/>
        <v>15.299999999999997</v>
      </c>
      <c r="AV67" s="25">
        <f t="shared" si="131"/>
        <v>15.299999999999997</v>
      </c>
      <c r="AW67" s="25">
        <f t="shared" si="131"/>
        <v>15.299999999999997</v>
      </c>
      <c r="AX67" s="25">
        <f t="shared" si="131"/>
        <v>15.299999999999997</v>
      </c>
      <c r="AY67" s="25">
        <f t="shared" si="131"/>
        <v>15.299999999999997</v>
      </c>
      <c r="AZ67" s="25">
        <f>AY68-3.2-12.1</f>
        <v>0</v>
      </c>
      <c r="BA67" s="25">
        <f t="shared" si="131"/>
        <v>0</v>
      </c>
      <c r="BB67" s="25">
        <f t="shared" si="131"/>
        <v>0</v>
      </c>
      <c r="BC67" s="25">
        <f t="shared" si="131"/>
        <v>0</v>
      </c>
      <c r="BD67" s="25">
        <f t="shared" si="131"/>
        <v>0</v>
      </c>
      <c r="BE67" s="25">
        <f t="shared" si="131"/>
        <v>0</v>
      </c>
      <c r="BF67" s="25">
        <f t="shared" si="131"/>
        <v>0</v>
      </c>
      <c r="BG67" s="25">
        <f t="shared" si="131"/>
        <v>0</v>
      </c>
      <c r="BH67" s="25">
        <f t="shared" si="131"/>
        <v>0</v>
      </c>
      <c r="BI67" s="25">
        <f>BH68+27.1+75.6</f>
        <v>102.69999999999999</v>
      </c>
      <c r="BJ67" s="25">
        <f t="shared" si="131"/>
        <v>102.69999999999999</v>
      </c>
      <c r="BK67" s="25">
        <f t="shared" si="131"/>
        <v>102.69999999999999</v>
      </c>
      <c r="BL67" s="25">
        <f t="shared" si="131"/>
        <v>102.69999999999999</v>
      </c>
      <c r="BM67" s="25">
        <f t="shared" si="131"/>
        <v>102.69999999999999</v>
      </c>
      <c r="BN67" s="25">
        <f t="shared" si="131"/>
        <v>102.69999999999999</v>
      </c>
      <c r="BO67" s="25">
        <f t="shared" si="131"/>
        <v>102.69999999999999</v>
      </c>
      <c r="BP67" s="25">
        <f t="shared" si="131"/>
        <v>102.69999999999999</v>
      </c>
      <c r="BQ67" s="25">
        <f t="shared" si="131"/>
        <v>0</v>
      </c>
      <c r="BR67" s="25">
        <f aca="true" t="shared" si="132" ref="BR67:EC67">BQ68</f>
        <v>0</v>
      </c>
      <c r="BS67" s="25">
        <f t="shared" si="132"/>
        <v>0</v>
      </c>
      <c r="BT67" s="40">
        <f t="shared" si="132"/>
        <v>0</v>
      </c>
      <c r="BU67" s="40">
        <f t="shared" si="132"/>
        <v>0</v>
      </c>
      <c r="BV67" s="40">
        <f t="shared" si="132"/>
        <v>0</v>
      </c>
      <c r="BW67" s="25">
        <f t="shared" si="132"/>
        <v>0</v>
      </c>
      <c r="BX67" s="25">
        <f t="shared" si="132"/>
        <v>0</v>
      </c>
      <c r="BY67" s="25">
        <f t="shared" si="132"/>
        <v>0</v>
      </c>
      <c r="BZ67" s="25">
        <f>BY68+42.3+117.3</f>
        <v>159.6</v>
      </c>
      <c r="CA67" s="25">
        <f t="shared" si="132"/>
        <v>159.6</v>
      </c>
      <c r="CB67" s="25">
        <f t="shared" si="132"/>
        <v>159.6</v>
      </c>
      <c r="CC67" s="25">
        <f t="shared" si="132"/>
        <v>159.6</v>
      </c>
      <c r="CD67" s="25">
        <f t="shared" si="132"/>
        <v>159.6</v>
      </c>
      <c r="CE67" s="25">
        <f t="shared" si="132"/>
        <v>124.6</v>
      </c>
      <c r="CF67" s="25">
        <f t="shared" si="132"/>
        <v>124.6</v>
      </c>
      <c r="CG67" s="25">
        <f t="shared" si="132"/>
        <v>94.6</v>
      </c>
      <c r="CH67" s="25">
        <f t="shared" si="132"/>
        <v>64.6</v>
      </c>
      <c r="CI67" s="25">
        <f t="shared" si="132"/>
        <v>34.599999999999994</v>
      </c>
      <c r="CJ67" s="25">
        <f t="shared" si="132"/>
        <v>34.599999999999994</v>
      </c>
      <c r="CK67" s="25">
        <f t="shared" si="132"/>
        <v>0</v>
      </c>
      <c r="CL67" s="25">
        <f t="shared" si="132"/>
        <v>0</v>
      </c>
      <c r="CM67" s="25">
        <f t="shared" si="132"/>
        <v>0</v>
      </c>
      <c r="CN67" s="25">
        <f t="shared" si="132"/>
        <v>0</v>
      </c>
      <c r="CO67" s="25">
        <f t="shared" si="132"/>
        <v>0</v>
      </c>
      <c r="CP67" s="25">
        <f>CO68+78.1+18.5</f>
        <v>96.6</v>
      </c>
      <c r="CQ67" s="25">
        <f t="shared" si="132"/>
        <v>96.6</v>
      </c>
      <c r="CR67" s="25">
        <f t="shared" si="132"/>
        <v>96.6</v>
      </c>
      <c r="CS67" s="25">
        <f t="shared" si="132"/>
        <v>66.6</v>
      </c>
      <c r="CT67" s="25">
        <f t="shared" si="132"/>
        <v>36.599999999999994</v>
      </c>
      <c r="CU67" s="25">
        <f t="shared" si="132"/>
        <v>0</v>
      </c>
      <c r="CV67" s="25">
        <f t="shared" si="132"/>
        <v>0</v>
      </c>
      <c r="CW67" s="25">
        <f t="shared" si="132"/>
        <v>0</v>
      </c>
      <c r="CX67" s="25">
        <f t="shared" si="132"/>
        <v>0</v>
      </c>
      <c r="CY67" s="25">
        <f t="shared" si="132"/>
        <v>0</v>
      </c>
      <c r="CZ67" s="25">
        <f t="shared" si="132"/>
        <v>0</v>
      </c>
      <c r="DA67" s="25">
        <f t="shared" si="132"/>
        <v>0</v>
      </c>
      <c r="DB67" s="25">
        <f t="shared" si="132"/>
        <v>0</v>
      </c>
      <c r="DC67" s="25">
        <f t="shared" si="132"/>
        <v>0</v>
      </c>
      <c r="DD67" s="25">
        <f t="shared" si="132"/>
        <v>0</v>
      </c>
      <c r="DE67" s="25">
        <f t="shared" si="132"/>
        <v>0</v>
      </c>
      <c r="DF67" s="25">
        <f t="shared" si="132"/>
        <v>0</v>
      </c>
      <c r="DG67" s="25">
        <f t="shared" si="132"/>
        <v>0</v>
      </c>
      <c r="DH67" s="25">
        <f t="shared" si="132"/>
        <v>0</v>
      </c>
      <c r="DI67" s="25">
        <f t="shared" si="132"/>
        <v>0</v>
      </c>
      <c r="DJ67" s="25">
        <f t="shared" si="132"/>
        <v>0</v>
      </c>
      <c r="DK67" s="25">
        <f>DJ68+50.6+4.8</f>
        <v>55.4</v>
      </c>
      <c r="DL67" s="25">
        <f t="shared" si="132"/>
        <v>55.4</v>
      </c>
      <c r="DM67" s="25">
        <f t="shared" si="132"/>
        <v>55.4</v>
      </c>
      <c r="DN67" s="25">
        <f t="shared" si="132"/>
        <v>55.4</v>
      </c>
      <c r="DO67" s="25">
        <f t="shared" si="132"/>
        <v>55.4</v>
      </c>
      <c r="DP67" s="37">
        <f t="shared" si="132"/>
        <v>55.4</v>
      </c>
      <c r="DQ67" s="37">
        <f t="shared" si="132"/>
        <v>0</v>
      </c>
      <c r="DR67" s="37">
        <f>DQ68-19.6</f>
        <v>-19.6</v>
      </c>
      <c r="DS67" s="37">
        <f t="shared" si="132"/>
        <v>-19.6</v>
      </c>
      <c r="DT67" s="37">
        <f t="shared" si="132"/>
        <v>-19.6</v>
      </c>
      <c r="DU67" s="25">
        <f t="shared" si="132"/>
        <v>-19.6</v>
      </c>
      <c r="DV67" s="25">
        <f t="shared" si="132"/>
        <v>-19.6</v>
      </c>
      <c r="DW67" s="25">
        <f t="shared" si="132"/>
        <v>-19.6</v>
      </c>
      <c r="DX67" s="25">
        <f t="shared" si="132"/>
        <v>-19.6</v>
      </c>
      <c r="DY67" s="25">
        <f>DX68+16.8+113.2</f>
        <v>110.4</v>
      </c>
      <c r="DZ67" s="25">
        <f t="shared" si="132"/>
        <v>80.4</v>
      </c>
      <c r="EA67" s="25">
        <f t="shared" si="132"/>
        <v>40.400000000000006</v>
      </c>
      <c r="EB67" s="25">
        <f t="shared" si="132"/>
        <v>40.400000000000006</v>
      </c>
      <c r="EC67" s="25">
        <f t="shared" si="132"/>
        <v>10.400000000000006</v>
      </c>
      <c r="ED67" s="25">
        <f aca="true" t="shared" si="133" ref="ED67:GO67">EC68</f>
        <v>-19.599999999999994</v>
      </c>
      <c r="EE67" s="25">
        <f t="shared" si="133"/>
        <v>-19.599999999999994</v>
      </c>
      <c r="EF67" s="25">
        <f t="shared" si="133"/>
        <v>-19.599999999999994</v>
      </c>
      <c r="EG67" s="25">
        <f t="shared" si="133"/>
        <v>-19.599999999999994</v>
      </c>
      <c r="EH67" s="25">
        <f t="shared" si="133"/>
        <v>-19.599999999999994</v>
      </c>
      <c r="EI67" s="25">
        <f t="shared" si="133"/>
        <v>-19.599999999999994</v>
      </c>
      <c r="EJ67" s="25">
        <f t="shared" si="133"/>
        <v>-19.599999999999994</v>
      </c>
      <c r="EK67" s="25">
        <f t="shared" si="133"/>
        <v>-19.599999999999994</v>
      </c>
      <c r="EL67" s="25">
        <f t="shared" si="133"/>
        <v>-19.599999999999994</v>
      </c>
      <c r="EM67" s="25">
        <f t="shared" si="133"/>
        <v>-19.599999999999994</v>
      </c>
      <c r="EN67" s="25">
        <f t="shared" si="133"/>
        <v>-19.599999999999994</v>
      </c>
      <c r="EO67" s="25">
        <f t="shared" si="133"/>
        <v>-19.599999999999994</v>
      </c>
      <c r="EP67" s="25">
        <f t="shared" si="133"/>
        <v>-19.599999999999994</v>
      </c>
      <c r="EQ67" s="25">
        <f>EP68+94.1+40.3</f>
        <v>114.8</v>
      </c>
      <c r="ER67" s="25">
        <f>EQ68</f>
        <v>114.8</v>
      </c>
      <c r="ES67" s="25">
        <f>ER68</f>
        <v>114.8</v>
      </c>
      <c r="ET67" s="25">
        <f>ES68</f>
        <v>114.8</v>
      </c>
      <c r="EU67" s="25">
        <f t="shared" si="133"/>
        <v>74.8</v>
      </c>
      <c r="EV67" s="25">
        <f t="shared" si="133"/>
        <v>29.799999999999997</v>
      </c>
      <c r="EW67" s="25">
        <f t="shared" si="133"/>
        <v>-10.200000000000003</v>
      </c>
      <c r="EX67" s="25">
        <f t="shared" si="133"/>
        <v>-10.200000000000003</v>
      </c>
      <c r="EY67" s="25">
        <f t="shared" si="133"/>
        <v>-10.200000000000003</v>
      </c>
      <c r="EZ67" s="25">
        <f t="shared" si="133"/>
        <v>-10.200000000000003</v>
      </c>
      <c r="FA67" s="25">
        <f t="shared" si="133"/>
        <v>-19.6</v>
      </c>
      <c r="FB67" s="25">
        <f t="shared" si="133"/>
        <v>-19.6</v>
      </c>
      <c r="FC67" s="25">
        <f t="shared" si="133"/>
        <v>-19.6</v>
      </c>
      <c r="FD67" s="25">
        <f t="shared" si="133"/>
        <v>-19.6</v>
      </c>
      <c r="FE67" s="25">
        <f t="shared" si="133"/>
        <v>-19.6</v>
      </c>
      <c r="FF67" s="25">
        <f t="shared" si="133"/>
        <v>-19.6</v>
      </c>
      <c r="FG67" s="25">
        <f>FF68+79.4</f>
        <v>59.800000000000004</v>
      </c>
      <c r="FH67" s="25">
        <f t="shared" si="133"/>
        <v>59.800000000000004</v>
      </c>
      <c r="FI67" s="25">
        <f t="shared" si="133"/>
        <v>59.800000000000004</v>
      </c>
      <c r="FJ67" s="25">
        <f t="shared" si="133"/>
        <v>59.800000000000004</v>
      </c>
      <c r="FK67" s="25">
        <f t="shared" si="133"/>
        <v>59.800000000000004</v>
      </c>
      <c r="FL67" s="25">
        <f t="shared" si="133"/>
        <v>59.800000000000004</v>
      </c>
      <c r="FM67" s="25">
        <f t="shared" si="133"/>
        <v>59.800000000000004</v>
      </c>
      <c r="FN67" s="25">
        <f t="shared" si="133"/>
        <v>59.800000000000004</v>
      </c>
      <c r="FO67" s="25">
        <f t="shared" si="133"/>
        <v>59.800000000000004</v>
      </c>
      <c r="FP67" s="25">
        <f t="shared" si="133"/>
        <v>59.800000000000004</v>
      </c>
      <c r="FQ67" s="25">
        <f t="shared" si="133"/>
        <v>59.800000000000004</v>
      </c>
      <c r="FR67" s="25">
        <f t="shared" si="133"/>
        <v>59.800000000000004</v>
      </c>
      <c r="FS67" s="25">
        <f t="shared" si="133"/>
        <v>0</v>
      </c>
      <c r="FT67" s="25">
        <f t="shared" si="133"/>
        <v>0</v>
      </c>
      <c r="FU67" s="25">
        <f t="shared" si="133"/>
        <v>0</v>
      </c>
      <c r="FV67" s="25">
        <f t="shared" si="133"/>
        <v>0</v>
      </c>
      <c r="FW67" s="25">
        <f t="shared" si="133"/>
        <v>0</v>
      </c>
      <c r="FX67" s="25">
        <f>FW68+26.7+93</f>
        <v>119.7</v>
      </c>
      <c r="FY67" s="25">
        <f t="shared" si="133"/>
        <v>119.7</v>
      </c>
      <c r="FZ67" s="25">
        <f t="shared" si="133"/>
        <v>119.7</v>
      </c>
      <c r="GA67" s="25">
        <f t="shared" si="133"/>
        <v>119.7</v>
      </c>
      <c r="GB67" s="25">
        <f t="shared" si="133"/>
        <v>59.7</v>
      </c>
      <c r="GC67" s="25">
        <f t="shared" si="133"/>
        <v>0</v>
      </c>
      <c r="GD67" s="25">
        <f t="shared" si="133"/>
        <v>0</v>
      </c>
      <c r="GE67" s="25">
        <f t="shared" si="133"/>
        <v>0</v>
      </c>
      <c r="GF67" s="25">
        <f t="shared" si="133"/>
        <v>0</v>
      </c>
      <c r="GG67" s="25">
        <f t="shared" si="133"/>
        <v>0</v>
      </c>
      <c r="GH67" s="25">
        <f t="shared" si="133"/>
        <v>0</v>
      </c>
      <c r="GI67" s="25">
        <f t="shared" si="133"/>
        <v>0</v>
      </c>
      <c r="GJ67" s="25">
        <f t="shared" si="133"/>
        <v>0</v>
      </c>
      <c r="GK67" s="25">
        <f t="shared" si="133"/>
        <v>0</v>
      </c>
      <c r="GL67" s="25">
        <f t="shared" si="133"/>
        <v>0</v>
      </c>
      <c r="GM67" s="25">
        <f t="shared" si="133"/>
        <v>0</v>
      </c>
      <c r="GN67" s="25">
        <f t="shared" si="133"/>
        <v>0</v>
      </c>
      <c r="GO67" s="25">
        <f t="shared" si="133"/>
        <v>0</v>
      </c>
    </row>
    <row r="68" spans="1:197" s="42" customFormat="1" ht="15">
      <c r="A68" s="35"/>
      <c r="B68" s="35"/>
      <c r="C68" s="24" t="s">
        <v>218</v>
      </c>
      <c r="D68" s="43">
        <f>D67-D66</f>
        <v>101.8</v>
      </c>
      <c r="E68" s="43">
        <f>E67-E66</f>
        <v>101.8</v>
      </c>
      <c r="F68" s="43">
        <f aca="true" t="shared" si="134" ref="F68:BQ68">F67-F66</f>
        <v>71.8</v>
      </c>
      <c r="G68" s="43">
        <f t="shared" si="134"/>
        <v>71.8</v>
      </c>
      <c r="H68" s="43">
        <f t="shared" si="134"/>
        <v>71.8</v>
      </c>
      <c r="I68" s="43">
        <f t="shared" si="134"/>
        <v>71.8</v>
      </c>
      <c r="J68" s="43">
        <f t="shared" si="134"/>
        <v>71.8</v>
      </c>
      <c r="K68" s="43">
        <f t="shared" si="134"/>
        <v>71.8</v>
      </c>
      <c r="L68" s="43">
        <f t="shared" si="134"/>
        <v>71.8</v>
      </c>
      <c r="M68" s="43">
        <f t="shared" si="134"/>
        <v>71.8</v>
      </c>
      <c r="N68" s="43">
        <f t="shared" si="134"/>
        <v>127.3</v>
      </c>
      <c r="O68" s="44">
        <f t="shared" si="134"/>
        <v>57.3</v>
      </c>
      <c r="P68" s="43">
        <f t="shared" si="134"/>
        <v>57.3</v>
      </c>
      <c r="Q68" s="43">
        <f t="shared" si="134"/>
        <v>57.3</v>
      </c>
      <c r="R68" s="43">
        <f t="shared" si="134"/>
        <v>15.399999999999999</v>
      </c>
      <c r="S68" s="43">
        <f t="shared" si="134"/>
        <v>15.399999999999999</v>
      </c>
      <c r="T68" s="43">
        <f t="shared" si="134"/>
        <v>15.399999999999999</v>
      </c>
      <c r="U68" s="43">
        <f t="shared" si="134"/>
        <v>15.399999999999999</v>
      </c>
      <c r="V68" s="43">
        <f t="shared" si="134"/>
        <v>15.399999999999999</v>
      </c>
      <c r="W68" s="43">
        <f t="shared" si="134"/>
        <v>15.399999999999999</v>
      </c>
      <c r="X68" s="44">
        <f t="shared" si="134"/>
        <v>15.399999999999999</v>
      </c>
      <c r="Y68" s="43">
        <f t="shared" si="134"/>
        <v>114.3</v>
      </c>
      <c r="Z68" s="43">
        <f t="shared" si="134"/>
        <v>114.3</v>
      </c>
      <c r="AA68" s="43">
        <f t="shared" si="134"/>
        <v>114.3</v>
      </c>
      <c r="AB68" s="43">
        <f t="shared" si="134"/>
        <v>79.3</v>
      </c>
      <c r="AC68" s="43">
        <f t="shared" si="134"/>
        <v>79.3</v>
      </c>
      <c r="AD68" s="44">
        <f t="shared" si="134"/>
        <v>44.099999999999994</v>
      </c>
      <c r="AE68" s="44">
        <f t="shared" si="134"/>
        <v>44.099999999999994</v>
      </c>
      <c r="AF68" s="43">
        <f t="shared" si="134"/>
        <v>44.099999999999994</v>
      </c>
      <c r="AG68" s="43">
        <f t="shared" si="134"/>
        <v>44.099999999999994</v>
      </c>
      <c r="AH68" s="43">
        <f t="shared" si="134"/>
        <v>15.399999999999995</v>
      </c>
      <c r="AI68" s="43">
        <f t="shared" si="134"/>
        <v>15.399999999999995</v>
      </c>
      <c r="AJ68" s="43">
        <f t="shared" si="134"/>
        <v>15.399999999999995</v>
      </c>
      <c r="AK68" s="43">
        <f t="shared" si="134"/>
        <v>15.399999999999995</v>
      </c>
      <c r="AL68" s="43">
        <f t="shared" si="134"/>
        <v>15.399999999999995</v>
      </c>
      <c r="AM68" s="43">
        <f t="shared" si="134"/>
        <v>15.399999999999995</v>
      </c>
      <c r="AN68" s="43">
        <f t="shared" si="134"/>
        <v>15.399999999999995</v>
      </c>
      <c r="AO68" s="43">
        <f t="shared" si="134"/>
        <v>15.399999999999995</v>
      </c>
      <c r="AP68" s="43">
        <f t="shared" si="134"/>
        <v>115.8</v>
      </c>
      <c r="AQ68" s="43">
        <f t="shared" si="134"/>
        <v>15.299999999999997</v>
      </c>
      <c r="AR68" s="43">
        <f t="shared" si="134"/>
        <v>15.299999999999997</v>
      </c>
      <c r="AS68" s="43">
        <f t="shared" si="134"/>
        <v>15.299999999999997</v>
      </c>
      <c r="AT68" s="43">
        <f t="shared" si="134"/>
        <v>15.299999999999997</v>
      </c>
      <c r="AU68" s="43">
        <f t="shared" si="134"/>
        <v>15.299999999999997</v>
      </c>
      <c r="AV68" s="43">
        <f t="shared" si="134"/>
        <v>15.299999999999997</v>
      </c>
      <c r="AW68" s="43">
        <f t="shared" si="134"/>
        <v>15.299999999999997</v>
      </c>
      <c r="AX68" s="43">
        <f t="shared" si="134"/>
        <v>15.299999999999997</v>
      </c>
      <c r="AY68" s="43">
        <f t="shared" si="134"/>
        <v>15.299999999999997</v>
      </c>
      <c r="AZ68" s="43">
        <f t="shared" si="134"/>
        <v>0</v>
      </c>
      <c r="BA68" s="43">
        <f t="shared" si="134"/>
        <v>0</v>
      </c>
      <c r="BB68" s="43">
        <f t="shared" si="134"/>
        <v>0</v>
      </c>
      <c r="BC68" s="43">
        <f t="shared" si="134"/>
        <v>0</v>
      </c>
      <c r="BD68" s="43">
        <f t="shared" si="134"/>
        <v>0</v>
      </c>
      <c r="BE68" s="43">
        <f t="shared" si="134"/>
        <v>0</v>
      </c>
      <c r="BF68" s="43">
        <f t="shared" si="134"/>
        <v>0</v>
      </c>
      <c r="BG68" s="43">
        <f t="shared" si="134"/>
        <v>0</v>
      </c>
      <c r="BH68" s="43">
        <f t="shared" si="134"/>
        <v>0</v>
      </c>
      <c r="BI68" s="43">
        <f t="shared" si="134"/>
        <v>102.69999999999999</v>
      </c>
      <c r="BJ68" s="43">
        <f t="shared" si="134"/>
        <v>102.69999999999999</v>
      </c>
      <c r="BK68" s="43">
        <f t="shared" si="134"/>
        <v>102.69999999999999</v>
      </c>
      <c r="BL68" s="43">
        <f t="shared" si="134"/>
        <v>102.69999999999999</v>
      </c>
      <c r="BM68" s="43">
        <f t="shared" si="134"/>
        <v>102.69999999999999</v>
      </c>
      <c r="BN68" s="43">
        <f t="shared" si="134"/>
        <v>102.69999999999999</v>
      </c>
      <c r="BO68" s="43">
        <f t="shared" si="134"/>
        <v>102.69999999999999</v>
      </c>
      <c r="BP68" s="43">
        <f t="shared" si="134"/>
        <v>0</v>
      </c>
      <c r="BQ68" s="43">
        <f t="shared" si="134"/>
        <v>0</v>
      </c>
      <c r="BR68" s="43">
        <f aca="true" t="shared" si="135" ref="BR68:EC68">BR67-BR66</f>
        <v>0</v>
      </c>
      <c r="BS68" s="43">
        <f t="shared" si="135"/>
        <v>0</v>
      </c>
      <c r="BT68" s="45">
        <f t="shared" si="135"/>
        <v>0</v>
      </c>
      <c r="BU68" s="45">
        <f t="shared" si="135"/>
        <v>0</v>
      </c>
      <c r="BV68" s="45">
        <f t="shared" si="135"/>
        <v>0</v>
      </c>
      <c r="BW68" s="43">
        <f t="shared" si="135"/>
        <v>0</v>
      </c>
      <c r="BX68" s="43">
        <f t="shared" si="135"/>
        <v>0</v>
      </c>
      <c r="BY68" s="43">
        <f t="shared" si="135"/>
        <v>0</v>
      </c>
      <c r="BZ68" s="43">
        <f t="shared" si="135"/>
        <v>159.6</v>
      </c>
      <c r="CA68" s="43">
        <f t="shared" si="135"/>
        <v>159.6</v>
      </c>
      <c r="CB68" s="43">
        <f t="shared" si="135"/>
        <v>159.6</v>
      </c>
      <c r="CC68" s="43">
        <f t="shared" si="135"/>
        <v>159.6</v>
      </c>
      <c r="CD68" s="43">
        <f t="shared" si="135"/>
        <v>124.6</v>
      </c>
      <c r="CE68" s="43">
        <f t="shared" si="135"/>
        <v>124.6</v>
      </c>
      <c r="CF68" s="43">
        <f t="shared" si="135"/>
        <v>94.6</v>
      </c>
      <c r="CG68" s="43">
        <f t="shared" si="135"/>
        <v>64.6</v>
      </c>
      <c r="CH68" s="43">
        <f t="shared" si="135"/>
        <v>34.599999999999994</v>
      </c>
      <c r="CI68" s="43">
        <f t="shared" si="135"/>
        <v>34.599999999999994</v>
      </c>
      <c r="CJ68" s="43">
        <f t="shared" si="135"/>
        <v>0</v>
      </c>
      <c r="CK68" s="43">
        <f t="shared" si="135"/>
        <v>0</v>
      </c>
      <c r="CL68" s="43">
        <f t="shared" si="135"/>
        <v>0</v>
      </c>
      <c r="CM68" s="43">
        <f t="shared" si="135"/>
        <v>0</v>
      </c>
      <c r="CN68" s="43">
        <f t="shared" si="135"/>
        <v>0</v>
      </c>
      <c r="CO68" s="43">
        <f t="shared" si="135"/>
        <v>0</v>
      </c>
      <c r="CP68" s="43">
        <f t="shared" si="135"/>
        <v>96.6</v>
      </c>
      <c r="CQ68" s="43">
        <f t="shared" si="135"/>
        <v>96.6</v>
      </c>
      <c r="CR68" s="43">
        <f t="shared" si="135"/>
        <v>66.6</v>
      </c>
      <c r="CS68" s="43">
        <f t="shared" si="135"/>
        <v>36.599999999999994</v>
      </c>
      <c r="CT68" s="43">
        <f t="shared" si="135"/>
        <v>0</v>
      </c>
      <c r="CU68" s="43">
        <f t="shared" si="135"/>
        <v>0</v>
      </c>
      <c r="CV68" s="43">
        <f t="shared" si="135"/>
        <v>0</v>
      </c>
      <c r="CW68" s="43">
        <f t="shared" si="135"/>
        <v>0</v>
      </c>
      <c r="CX68" s="43">
        <f t="shared" si="135"/>
        <v>0</v>
      </c>
      <c r="CY68" s="43">
        <f t="shared" si="135"/>
        <v>0</v>
      </c>
      <c r="CZ68" s="43">
        <f t="shared" si="135"/>
        <v>0</v>
      </c>
      <c r="DA68" s="43">
        <f t="shared" si="135"/>
        <v>0</v>
      </c>
      <c r="DB68" s="43">
        <f t="shared" si="135"/>
        <v>0</v>
      </c>
      <c r="DC68" s="43">
        <f t="shared" si="135"/>
        <v>0</v>
      </c>
      <c r="DD68" s="43">
        <f t="shared" si="135"/>
        <v>0</v>
      </c>
      <c r="DE68" s="43">
        <f t="shared" si="135"/>
        <v>0</v>
      </c>
      <c r="DF68" s="43">
        <f t="shared" si="135"/>
        <v>0</v>
      </c>
      <c r="DG68" s="43">
        <f t="shared" si="135"/>
        <v>0</v>
      </c>
      <c r="DH68" s="43">
        <f t="shared" si="135"/>
        <v>0</v>
      </c>
      <c r="DI68" s="43">
        <f t="shared" si="135"/>
        <v>0</v>
      </c>
      <c r="DJ68" s="43">
        <f t="shared" si="135"/>
        <v>0</v>
      </c>
      <c r="DK68" s="43">
        <f t="shared" si="135"/>
        <v>55.4</v>
      </c>
      <c r="DL68" s="43">
        <f t="shared" si="135"/>
        <v>55.4</v>
      </c>
      <c r="DM68" s="43">
        <f t="shared" si="135"/>
        <v>55.4</v>
      </c>
      <c r="DN68" s="43">
        <f t="shared" si="135"/>
        <v>55.4</v>
      </c>
      <c r="DO68" s="43">
        <f t="shared" si="135"/>
        <v>55.4</v>
      </c>
      <c r="DP68" s="44">
        <f t="shared" si="135"/>
        <v>0</v>
      </c>
      <c r="DQ68" s="44">
        <f t="shared" si="135"/>
        <v>0</v>
      </c>
      <c r="DR68" s="44">
        <f t="shared" si="135"/>
        <v>-19.6</v>
      </c>
      <c r="DS68" s="44">
        <f t="shared" si="135"/>
        <v>-19.6</v>
      </c>
      <c r="DT68" s="44">
        <f t="shared" si="135"/>
        <v>-19.6</v>
      </c>
      <c r="DU68" s="43">
        <f t="shared" si="135"/>
        <v>-19.6</v>
      </c>
      <c r="DV68" s="43">
        <f t="shared" si="135"/>
        <v>-19.6</v>
      </c>
      <c r="DW68" s="43">
        <f t="shared" si="135"/>
        <v>-19.6</v>
      </c>
      <c r="DX68" s="43">
        <f t="shared" si="135"/>
        <v>-19.6</v>
      </c>
      <c r="DY68" s="43">
        <f t="shared" si="135"/>
        <v>80.4</v>
      </c>
      <c r="DZ68" s="43">
        <f t="shared" si="135"/>
        <v>40.400000000000006</v>
      </c>
      <c r="EA68" s="43">
        <f t="shared" si="135"/>
        <v>40.400000000000006</v>
      </c>
      <c r="EB68" s="43">
        <f t="shared" si="135"/>
        <v>10.400000000000006</v>
      </c>
      <c r="EC68" s="43">
        <f t="shared" si="135"/>
        <v>-19.599999999999994</v>
      </c>
      <c r="ED68" s="43">
        <f aca="true" t="shared" si="136" ref="ED68:GO68">ED67-ED66</f>
        <v>-19.599999999999994</v>
      </c>
      <c r="EE68" s="43">
        <f t="shared" si="136"/>
        <v>-19.599999999999994</v>
      </c>
      <c r="EF68" s="43">
        <f t="shared" si="136"/>
        <v>-19.599999999999994</v>
      </c>
      <c r="EG68" s="43">
        <f t="shared" si="136"/>
        <v>-19.599999999999994</v>
      </c>
      <c r="EH68" s="43">
        <f t="shared" si="136"/>
        <v>-19.599999999999994</v>
      </c>
      <c r="EI68" s="43">
        <f t="shared" si="136"/>
        <v>-19.599999999999994</v>
      </c>
      <c r="EJ68" s="43">
        <f t="shared" si="136"/>
        <v>-19.599999999999994</v>
      </c>
      <c r="EK68" s="43">
        <f t="shared" si="136"/>
        <v>-19.599999999999994</v>
      </c>
      <c r="EL68" s="43">
        <f t="shared" si="136"/>
        <v>-19.599999999999994</v>
      </c>
      <c r="EM68" s="43">
        <f t="shared" si="136"/>
        <v>-19.599999999999994</v>
      </c>
      <c r="EN68" s="43">
        <f t="shared" si="136"/>
        <v>-19.599999999999994</v>
      </c>
      <c r="EO68" s="43">
        <f t="shared" si="136"/>
        <v>-19.599999999999994</v>
      </c>
      <c r="EP68" s="43">
        <f t="shared" si="136"/>
        <v>-19.599999999999994</v>
      </c>
      <c r="EQ68" s="43">
        <f t="shared" si="136"/>
        <v>114.8</v>
      </c>
      <c r="ER68" s="43">
        <f t="shared" si="136"/>
        <v>114.8</v>
      </c>
      <c r="ES68" s="43">
        <f t="shared" si="136"/>
        <v>114.8</v>
      </c>
      <c r="ET68" s="43">
        <f t="shared" si="136"/>
        <v>74.8</v>
      </c>
      <c r="EU68" s="43">
        <f t="shared" si="136"/>
        <v>29.799999999999997</v>
      </c>
      <c r="EV68" s="43">
        <f t="shared" si="136"/>
        <v>-10.200000000000003</v>
      </c>
      <c r="EW68" s="43">
        <f t="shared" si="136"/>
        <v>-10.200000000000003</v>
      </c>
      <c r="EX68" s="43">
        <f t="shared" si="136"/>
        <v>-10.200000000000003</v>
      </c>
      <c r="EY68" s="43">
        <f t="shared" si="136"/>
        <v>-10.200000000000003</v>
      </c>
      <c r="EZ68" s="43">
        <f t="shared" si="136"/>
        <v>-19.6</v>
      </c>
      <c r="FA68" s="43">
        <f t="shared" si="136"/>
        <v>-19.6</v>
      </c>
      <c r="FB68" s="43">
        <f t="shared" si="136"/>
        <v>-19.6</v>
      </c>
      <c r="FC68" s="43">
        <f t="shared" si="136"/>
        <v>-19.6</v>
      </c>
      <c r="FD68" s="43">
        <f t="shared" si="136"/>
        <v>-19.6</v>
      </c>
      <c r="FE68" s="43">
        <f t="shared" si="136"/>
        <v>-19.6</v>
      </c>
      <c r="FF68" s="43">
        <f t="shared" si="136"/>
        <v>-19.6</v>
      </c>
      <c r="FG68" s="43">
        <f t="shared" si="136"/>
        <v>59.800000000000004</v>
      </c>
      <c r="FH68" s="43">
        <f t="shared" si="136"/>
        <v>59.800000000000004</v>
      </c>
      <c r="FI68" s="43">
        <f t="shared" si="136"/>
        <v>59.800000000000004</v>
      </c>
      <c r="FJ68" s="43">
        <f t="shared" si="136"/>
        <v>59.800000000000004</v>
      </c>
      <c r="FK68" s="43">
        <f t="shared" si="136"/>
        <v>59.800000000000004</v>
      </c>
      <c r="FL68" s="43">
        <f t="shared" si="136"/>
        <v>59.800000000000004</v>
      </c>
      <c r="FM68" s="43">
        <f t="shared" si="136"/>
        <v>59.800000000000004</v>
      </c>
      <c r="FN68" s="43">
        <f t="shared" si="136"/>
        <v>59.800000000000004</v>
      </c>
      <c r="FO68" s="43">
        <f t="shared" si="136"/>
        <v>59.800000000000004</v>
      </c>
      <c r="FP68" s="43">
        <f t="shared" si="136"/>
        <v>59.800000000000004</v>
      </c>
      <c r="FQ68" s="43">
        <f t="shared" si="136"/>
        <v>59.800000000000004</v>
      </c>
      <c r="FR68" s="43">
        <f t="shared" si="136"/>
        <v>0</v>
      </c>
      <c r="FS68" s="43">
        <f t="shared" si="136"/>
        <v>0</v>
      </c>
      <c r="FT68" s="43">
        <f t="shared" si="136"/>
        <v>0</v>
      </c>
      <c r="FU68" s="43">
        <f t="shared" si="136"/>
        <v>0</v>
      </c>
      <c r="FV68" s="43">
        <f t="shared" si="136"/>
        <v>0</v>
      </c>
      <c r="FW68" s="43">
        <f t="shared" si="136"/>
        <v>0</v>
      </c>
      <c r="FX68" s="43">
        <f t="shared" si="136"/>
        <v>119.7</v>
      </c>
      <c r="FY68" s="43">
        <f t="shared" si="136"/>
        <v>119.7</v>
      </c>
      <c r="FZ68" s="43">
        <f t="shared" si="136"/>
        <v>119.7</v>
      </c>
      <c r="GA68" s="43">
        <f t="shared" si="136"/>
        <v>59.7</v>
      </c>
      <c r="GB68" s="43">
        <f t="shared" si="136"/>
        <v>0</v>
      </c>
      <c r="GC68" s="43">
        <f t="shared" si="136"/>
        <v>0</v>
      </c>
      <c r="GD68" s="43">
        <f t="shared" si="136"/>
        <v>0</v>
      </c>
      <c r="GE68" s="43">
        <f t="shared" si="136"/>
        <v>0</v>
      </c>
      <c r="GF68" s="43">
        <f t="shared" si="136"/>
        <v>0</v>
      </c>
      <c r="GG68" s="43">
        <f t="shared" si="136"/>
        <v>0</v>
      </c>
      <c r="GH68" s="43">
        <f t="shared" si="136"/>
        <v>0</v>
      </c>
      <c r="GI68" s="43">
        <f t="shared" si="136"/>
        <v>0</v>
      </c>
      <c r="GJ68" s="43">
        <f t="shared" si="136"/>
        <v>0</v>
      </c>
      <c r="GK68" s="43">
        <f t="shared" si="136"/>
        <v>0</v>
      </c>
      <c r="GL68" s="43">
        <f t="shared" si="136"/>
        <v>0</v>
      </c>
      <c r="GM68" s="43">
        <f t="shared" si="136"/>
        <v>0</v>
      </c>
      <c r="GN68" s="43">
        <f t="shared" si="136"/>
        <v>0</v>
      </c>
      <c r="GO68" s="43">
        <f t="shared" si="136"/>
        <v>0</v>
      </c>
    </row>
    <row r="69" spans="1:256" s="9" customFormat="1" ht="15">
      <c r="A69" s="4" t="s">
        <v>242</v>
      </c>
      <c r="B69" s="4">
        <v>21</v>
      </c>
      <c r="C69" s="12" t="s">
        <v>216</v>
      </c>
      <c r="F69" s="19">
        <v>24.9</v>
      </c>
      <c r="O69" s="19">
        <v>100</v>
      </c>
      <c r="S69" s="19">
        <v>30</v>
      </c>
      <c r="T69" s="19">
        <v>30</v>
      </c>
      <c r="X69" s="19">
        <v>43.1</v>
      </c>
      <c r="AQ69" s="19">
        <v>51.4</v>
      </c>
      <c r="AT69" s="19">
        <v>35</v>
      </c>
      <c r="AV69" s="30">
        <v>30</v>
      </c>
      <c r="AW69" s="29"/>
      <c r="AX69" s="30">
        <v>30</v>
      </c>
      <c r="AZ69" s="30">
        <v>31.8</v>
      </c>
      <c r="BP69" s="19">
        <v>70</v>
      </c>
      <c r="BR69" s="30">
        <v>30</v>
      </c>
      <c r="BT69" s="31"/>
      <c r="BU69" s="31"/>
      <c r="BV69" s="31"/>
      <c r="BW69" s="30">
        <v>45</v>
      </c>
      <c r="BX69" s="30">
        <v>40</v>
      </c>
      <c r="BZ69" s="30">
        <v>50</v>
      </c>
      <c r="CA69" s="30">
        <v>30</v>
      </c>
      <c r="CB69" s="30">
        <v>20</v>
      </c>
      <c r="CC69" s="30">
        <v>20</v>
      </c>
      <c r="CD69" s="30">
        <v>25</v>
      </c>
      <c r="CG69" s="30">
        <v>20</v>
      </c>
      <c r="CH69" s="30">
        <v>20</v>
      </c>
      <c r="CP69" s="19">
        <v>40</v>
      </c>
      <c r="CT69" s="30">
        <v>30</v>
      </c>
      <c r="CU69" s="30">
        <v>30</v>
      </c>
      <c r="CV69" s="30">
        <v>30</v>
      </c>
      <c r="CW69" s="19">
        <v>79.7</v>
      </c>
      <c r="CZ69" s="30">
        <v>40</v>
      </c>
      <c r="DB69" s="30">
        <v>20</v>
      </c>
      <c r="DE69" s="30">
        <v>20</v>
      </c>
      <c r="DF69" s="30">
        <v>25</v>
      </c>
      <c r="DG69" s="30">
        <v>25</v>
      </c>
      <c r="DH69" s="30">
        <v>25</v>
      </c>
      <c r="DP69" s="29"/>
      <c r="DQ69" s="19">
        <v>80</v>
      </c>
      <c r="DR69" s="30">
        <v>20</v>
      </c>
      <c r="DS69" s="29"/>
      <c r="DT69" s="30">
        <v>20</v>
      </c>
      <c r="DY69" s="30">
        <v>15</v>
      </c>
      <c r="DZ69" s="30">
        <v>20</v>
      </c>
      <c r="EB69" s="30">
        <v>20</v>
      </c>
      <c r="ED69" s="30">
        <v>20</v>
      </c>
      <c r="EE69" s="30">
        <v>10</v>
      </c>
      <c r="EG69" s="19">
        <v>25</v>
      </c>
      <c r="EL69" s="19">
        <v>25</v>
      </c>
      <c r="EP69" s="19">
        <v>210</v>
      </c>
      <c r="ER69" s="56">
        <v>35</v>
      </c>
      <c r="EW69" s="19">
        <v>32.9</v>
      </c>
      <c r="EX69" s="30">
        <v>20</v>
      </c>
      <c r="FA69" s="30">
        <v>25</v>
      </c>
      <c r="FF69" s="30">
        <v>40</v>
      </c>
      <c r="FR69" s="9">
        <v>140</v>
      </c>
      <c r="FS69" s="9">
        <v>40</v>
      </c>
      <c r="FT69" s="9">
        <v>40</v>
      </c>
      <c r="FU69" s="9">
        <v>40</v>
      </c>
      <c r="FV69" s="9">
        <v>40</v>
      </c>
      <c r="FX69" s="9">
        <v>20</v>
      </c>
      <c r="FY69" s="9">
        <v>20</v>
      </c>
      <c r="FZ69" s="9">
        <v>20</v>
      </c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197" ht="15">
      <c r="A70" s="4" t="s">
        <v>243</v>
      </c>
      <c r="B70" s="4"/>
      <c r="C70" s="12" t="s">
        <v>217</v>
      </c>
      <c r="D70" s="14">
        <v>116.3</v>
      </c>
      <c r="E70" s="14">
        <f>D71</f>
        <v>116.3</v>
      </c>
      <c r="F70" s="14">
        <f aca="true" t="shared" si="137" ref="F70:BQ70">E71</f>
        <v>116.3</v>
      </c>
      <c r="G70" s="14">
        <f>F71+58.8</f>
        <v>150.2</v>
      </c>
      <c r="H70" s="14">
        <f t="shared" si="137"/>
        <v>150.2</v>
      </c>
      <c r="I70" s="14">
        <f t="shared" si="137"/>
        <v>150.2</v>
      </c>
      <c r="J70" s="14">
        <f t="shared" si="137"/>
        <v>150.2</v>
      </c>
      <c r="K70" s="14">
        <f t="shared" si="137"/>
        <v>150.2</v>
      </c>
      <c r="L70" s="14">
        <f t="shared" si="137"/>
        <v>150.2</v>
      </c>
      <c r="M70" s="14">
        <f t="shared" si="137"/>
        <v>150.2</v>
      </c>
      <c r="N70" s="14">
        <f t="shared" si="137"/>
        <v>150.2</v>
      </c>
      <c r="O70" s="15">
        <f t="shared" si="137"/>
        <v>150.2</v>
      </c>
      <c r="P70" s="14">
        <f>O71+54.5</f>
        <v>104.69999999999999</v>
      </c>
      <c r="Q70" s="14">
        <f t="shared" si="137"/>
        <v>104.69999999999999</v>
      </c>
      <c r="R70" s="14">
        <f t="shared" si="137"/>
        <v>104.69999999999999</v>
      </c>
      <c r="S70" s="14">
        <f t="shared" si="137"/>
        <v>104.69999999999999</v>
      </c>
      <c r="T70" s="14">
        <f t="shared" si="137"/>
        <v>74.69999999999999</v>
      </c>
      <c r="U70" s="14">
        <f t="shared" si="137"/>
        <v>44.69999999999999</v>
      </c>
      <c r="V70" s="14">
        <f t="shared" si="137"/>
        <v>44.69999999999999</v>
      </c>
      <c r="W70" s="14">
        <f t="shared" si="137"/>
        <v>44.69999999999999</v>
      </c>
      <c r="X70" s="15">
        <f t="shared" si="137"/>
        <v>44.69999999999999</v>
      </c>
      <c r="Y70" s="14">
        <f t="shared" si="137"/>
        <v>1.5999999999999872</v>
      </c>
      <c r="Z70" s="14">
        <f t="shared" si="137"/>
        <v>1.5999999999999872</v>
      </c>
      <c r="AA70" s="14">
        <f t="shared" si="137"/>
        <v>1.5999999999999872</v>
      </c>
      <c r="AB70" s="14">
        <f t="shared" si="137"/>
        <v>1.5999999999999872</v>
      </c>
      <c r="AC70" s="14">
        <f t="shared" si="137"/>
        <v>1.5999999999999872</v>
      </c>
      <c r="AD70" s="14">
        <f t="shared" si="137"/>
        <v>1.5999999999999872</v>
      </c>
      <c r="AE70" s="14">
        <f t="shared" si="137"/>
        <v>1.5999999999999872</v>
      </c>
      <c r="AF70" s="14">
        <f>AE71+26.2</f>
        <v>27.799999999999986</v>
      </c>
      <c r="AG70" s="14">
        <f t="shared" si="137"/>
        <v>27.799999999999986</v>
      </c>
      <c r="AH70" s="14">
        <f t="shared" si="137"/>
        <v>27.799999999999986</v>
      </c>
      <c r="AI70" s="14">
        <f t="shared" si="137"/>
        <v>27.799999999999986</v>
      </c>
      <c r="AJ70" s="14">
        <f t="shared" si="137"/>
        <v>27.799999999999986</v>
      </c>
      <c r="AK70" s="14">
        <f>AJ71+22.6</f>
        <v>50.39999999999999</v>
      </c>
      <c r="AL70" s="14">
        <f t="shared" si="137"/>
        <v>50.39999999999999</v>
      </c>
      <c r="AM70" s="14">
        <f t="shared" si="137"/>
        <v>50.39999999999999</v>
      </c>
      <c r="AN70" s="14">
        <f t="shared" si="137"/>
        <v>50.39999999999999</v>
      </c>
      <c r="AO70" s="14">
        <f t="shared" si="137"/>
        <v>50.39999999999999</v>
      </c>
      <c r="AP70" s="14">
        <f t="shared" si="137"/>
        <v>50.39999999999999</v>
      </c>
      <c r="AQ70" s="14">
        <f>AP71+1</f>
        <v>51.39999999999999</v>
      </c>
      <c r="AR70" s="14">
        <f t="shared" si="137"/>
        <v>0</v>
      </c>
      <c r="AS70" s="14">
        <f t="shared" si="137"/>
        <v>0</v>
      </c>
      <c r="AT70" s="14">
        <f>AS71+126.8</f>
        <v>126.8</v>
      </c>
      <c r="AU70" s="14">
        <f t="shared" si="137"/>
        <v>91.8</v>
      </c>
      <c r="AV70" s="14">
        <f t="shared" si="137"/>
        <v>91.8</v>
      </c>
      <c r="AW70" s="14">
        <f t="shared" si="137"/>
        <v>61.8</v>
      </c>
      <c r="AX70" s="14">
        <f t="shared" si="137"/>
        <v>61.8</v>
      </c>
      <c r="AY70" s="14">
        <f t="shared" si="137"/>
        <v>31.799999999999997</v>
      </c>
      <c r="AZ70" s="14">
        <f t="shared" si="137"/>
        <v>31.799999999999997</v>
      </c>
      <c r="BA70" s="14">
        <f t="shared" si="137"/>
        <v>0</v>
      </c>
      <c r="BB70" s="14">
        <f t="shared" si="137"/>
        <v>0</v>
      </c>
      <c r="BC70" s="14">
        <f t="shared" si="137"/>
        <v>0</v>
      </c>
      <c r="BD70" s="14">
        <f t="shared" si="137"/>
        <v>0</v>
      </c>
      <c r="BE70" s="14">
        <f t="shared" si="137"/>
        <v>0</v>
      </c>
      <c r="BF70" s="14">
        <f>BE71+92.1-21.9</f>
        <v>70.19999999999999</v>
      </c>
      <c r="BG70" s="14">
        <f t="shared" si="137"/>
        <v>70.19999999999999</v>
      </c>
      <c r="BH70" s="14">
        <f t="shared" si="137"/>
        <v>70.19999999999999</v>
      </c>
      <c r="BI70" s="14">
        <f t="shared" si="137"/>
        <v>70.19999999999999</v>
      </c>
      <c r="BJ70" s="14">
        <f t="shared" si="137"/>
        <v>70.19999999999999</v>
      </c>
      <c r="BK70" s="14">
        <f t="shared" si="137"/>
        <v>70.19999999999999</v>
      </c>
      <c r="BL70" s="14">
        <f t="shared" si="137"/>
        <v>70.19999999999999</v>
      </c>
      <c r="BM70" s="14">
        <f t="shared" si="137"/>
        <v>70.19999999999999</v>
      </c>
      <c r="BN70" s="14">
        <f>BM71</f>
        <v>70.19999999999999</v>
      </c>
      <c r="BO70" s="14">
        <f>BN71+67.4</f>
        <v>137.6</v>
      </c>
      <c r="BP70" s="14">
        <f t="shared" si="137"/>
        <v>137.6</v>
      </c>
      <c r="BQ70" s="14">
        <f t="shared" si="137"/>
        <v>67.6</v>
      </c>
      <c r="BR70" s="14">
        <f>BQ71+90+3.6</f>
        <v>161.2</v>
      </c>
      <c r="BS70" s="14">
        <f aca="true" t="shared" si="138" ref="BS70:EC70">BR71</f>
        <v>131.2</v>
      </c>
      <c r="BT70" s="26">
        <f t="shared" si="138"/>
        <v>131.2</v>
      </c>
      <c r="BU70" s="26">
        <f t="shared" si="138"/>
        <v>131.2</v>
      </c>
      <c r="BV70" s="26">
        <f t="shared" si="138"/>
        <v>131.2</v>
      </c>
      <c r="BW70" s="14">
        <f t="shared" si="138"/>
        <v>131.2</v>
      </c>
      <c r="BX70" s="14">
        <f>BW71+18.3+89.2+2.2</f>
        <v>195.89999999999998</v>
      </c>
      <c r="BY70" s="14">
        <f t="shared" si="138"/>
        <v>155.89999999999998</v>
      </c>
      <c r="BZ70" s="14">
        <f t="shared" si="138"/>
        <v>155.89999999999998</v>
      </c>
      <c r="CA70" s="14">
        <f t="shared" si="138"/>
        <v>105.89999999999998</v>
      </c>
      <c r="CB70" s="14">
        <f t="shared" si="138"/>
        <v>75.89999999999998</v>
      </c>
      <c r="CC70" s="14">
        <f t="shared" si="138"/>
        <v>55.89999999999998</v>
      </c>
      <c r="CD70" s="14">
        <f>CC71+120.3</f>
        <v>156.2</v>
      </c>
      <c r="CE70" s="14">
        <f t="shared" si="138"/>
        <v>131.2</v>
      </c>
      <c r="CF70" s="14">
        <f t="shared" si="138"/>
        <v>131.2</v>
      </c>
      <c r="CG70" s="14">
        <f t="shared" si="138"/>
        <v>131.2</v>
      </c>
      <c r="CH70" s="14">
        <f t="shared" si="138"/>
        <v>111.19999999999999</v>
      </c>
      <c r="CI70" s="14">
        <f t="shared" si="138"/>
        <v>91.19999999999999</v>
      </c>
      <c r="CJ70" s="14">
        <f t="shared" si="138"/>
        <v>91.19999999999999</v>
      </c>
      <c r="CK70" s="14">
        <f t="shared" si="138"/>
        <v>91.19999999999999</v>
      </c>
      <c r="CL70" s="14">
        <f t="shared" si="138"/>
        <v>91.19999999999999</v>
      </c>
      <c r="CM70" s="14">
        <f t="shared" si="138"/>
        <v>91.19999999999999</v>
      </c>
      <c r="CN70" s="14">
        <f t="shared" si="138"/>
        <v>91.19999999999999</v>
      </c>
      <c r="CO70" s="14">
        <f t="shared" si="138"/>
        <v>91.19999999999999</v>
      </c>
      <c r="CP70" s="14">
        <f t="shared" si="138"/>
        <v>91.19999999999999</v>
      </c>
      <c r="CQ70" s="14">
        <f t="shared" si="138"/>
        <v>51.19999999999999</v>
      </c>
      <c r="CR70" s="14">
        <f t="shared" si="138"/>
        <v>51.19999999999999</v>
      </c>
      <c r="CS70" s="14">
        <f t="shared" si="138"/>
        <v>51.19999999999999</v>
      </c>
      <c r="CT70" s="14">
        <f>CS71+123.4</f>
        <v>174.6</v>
      </c>
      <c r="CU70" s="14">
        <f t="shared" si="138"/>
        <v>144.6</v>
      </c>
      <c r="CV70" s="14">
        <f t="shared" si="138"/>
        <v>114.6</v>
      </c>
      <c r="CW70" s="14">
        <f t="shared" si="138"/>
        <v>84.6</v>
      </c>
      <c r="CX70" s="14">
        <f>CW71+109.2</f>
        <v>114.1</v>
      </c>
      <c r="CY70" s="14">
        <f t="shared" si="138"/>
        <v>114.1</v>
      </c>
      <c r="CZ70" s="14">
        <f t="shared" si="138"/>
        <v>114.1</v>
      </c>
      <c r="DA70" s="14">
        <f t="shared" si="138"/>
        <v>74.1</v>
      </c>
      <c r="DB70" s="14">
        <f t="shared" si="138"/>
        <v>74.1</v>
      </c>
      <c r="DC70" s="14">
        <f t="shared" si="138"/>
        <v>54.099999999999994</v>
      </c>
      <c r="DD70" s="14">
        <f t="shared" si="138"/>
        <v>54.099999999999994</v>
      </c>
      <c r="DE70" s="14">
        <f>DD71+5.8+24.8+70.8</f>
        <v>155.5</v>
      </c>
      <c r="DF70" s="14">
        <f t="shared" si="138"/>
        <v>135.5</v>
      </c>
      <c r="DG70" s="14">
        <f t="shared" si="138"/>
        <v>110.5</v>
      </c>
      <c r="DH70" s="14">
        <f t="shared" si="138"/>
        <v>85.5</v>
      </c>
      <c r="DI70" s="14">
        <f t="shared" si="138"/>
        <v>60.5</v>
      </c>
      <c r="DJ70" s="14">
        <f t="shared" si="138"/>
        <v>60.5</v>
      </c>
      <c r="DK70" s="14">
        <f>DJ71+79.7</f>
        <v>140.2</v>
      </c>
      <c r="DL70" s="14">
        <f t="shared" si="138"/>
        <v>140.2</v>
      </c>
      <c r="DM70" s="14">
        <f t="shared" si="138"/>
        <v>140.2</v>
      </c>
      <c r="DN70" s="14">
        <f t="shared" si="138"/>
        <v>140.2</v>
      </c>
      <c r="DO70" s="14">
        <f t="shared" si="138"/>
        <v>140.2</v>
      </c>
      <c r="DP70" s="15">
        <f t="shared" si="138"/>
        <v>140.2</v>
      </c>
      <c r="DQ70" s="15">
        <f t="shared" si="138"/>
        <v>140.2</v>
      </c>
      <c r="DR70" s="15">
        <f t="shared" si="138"/>
        <v>60.19999999999999</v>
      </c>
      <c r="DS70" s="15">
        <f t="shared" si="138"/>
        <v>40.19999999999999</v>
      </c>
      <c r="DT70" s="15">
        <f t="shared" si="138"/>
        <v>40.19999999999999</v>
      </c>
      <c r="DU70" s="14">
        <f t="shared" si="138"/>
        <v>20.19999999999999</v>
      </c>
      <c r="DV70" s="14">
        <f t="shared" si="138"/>
        <v>20.19999999999999</v>
      </c>
      <c r="DW70" s="14">
        <f>DV71+145</f>
        <v>165.2</v>
      </c>
      <c r="DX70" s="14">
        <f t="shared" si="138"/>
        <v>165.2</v>
      </c>
      <c r="DY70" s="14">
        <f t="shared" si="138"/>
        <v>165.2</v>
      </c>
      <c r="DZ70" s="14">
        <f t="shared" si="138"/>
        <v>150.2</v>
      </c>
      <c r="EA70" s="14">
        <f t="shared" si="138"/>
        <v>130.2</v>
      </c>
      <c r="EB70" s="14">
        <f t="shared" si="138"/>
        <v>130.2</v>
      </c>
      <c r="EC70" s="14">
        <f t="shared" si="138"/>
        <v>110.19999999999999</v>
      </c>
      <c r="ED70" s="14">
        <f aca="true" t="shared" si="139" ref="ED70:GO70">EC71</f>
        <v>110.19999999999999</v>
      </c>
      <c r="EE70" s="14">
        <f>ED71+137.7</f>
        <v>227.89999999999998</v>
      </c>
      <c r="EF70" s="14">
        <f t="shared" si="139"/>
        <v>217.89999999999998</v>
      </c>
      <c r="EG70" s="14">
        <f t="shared" si="139"/>
        <v>217.89999999999998</v>
      </c>
      <c r="EH70" s="14">
        <f t="shared" si="139"/>
        <v>192.89999999999998</v>
      </c>
      <c r="EI70" s="14">
        <f t="shared" si="139"/>
        <v>192.89999999999998</v>
      </c>
      <c r="EJ70" s="14">
        <f t="shared" si="139"/>
        <v>192.89999999999998</v>
      </c>
      <c r="EK70" s="14">
        <f t="shared" si="139"/>
        <v>192.89999999999998</v>
      </c>
      <c r="EL70" s="14">
        <f t="shared" si="139"/>
        <v>192.89999999999998</v>
      </c>
      <c r="EM70" s="14">
        <f t="shared" si="139"/>
        <v>167.89999999999998</v>
      </c>
      <c r="EN70" s="14">
        <f>EM71+16.1</f>
        <v>183.99999999999997</v>
      </c>
      <c r="EO70" s="14">
        <f>EN71+117.9</f>
        <v>301.9</v>
      </c>
      <c r="EP70" s="14">
        <f t="shared" si="139"/>
        <v>301.9</v>
      </c>
      <c r="EQ70" s="14">
        <f t="shared" si="139"/>
        <v>91.89999999999998</v>
      </c>
      <c r="ER70" s="14">
        <f>EQ71</f>
        <v>91.89999999999998</v>
      </c>
      <c r="ES70" s="14">
        <f>ER71</f>
        <v>56.89999999999998</v>
      </c>
      <c r="ET70" s="14">
        <f>ES71+13.7</f>
        <v>70.59999999999998</v>
      </c>
      <c r="EU70" s="14">
        <f t="shared" si="139"/>
        <v>70.59999999999998</v>
      </c>
      <c r="EV70" s="14">
        <f>EU71+134.3</f>
        <v>204.89999999999998</v>
      </c>
      <c r="EW70" s="14">
        <f>EV71+3.2</f>
        <v>208.09999999999997</v>
      </c>
      <c r="EX70" s="14">
        <f t="shared" si="139"/>
        <v>175.19999999999996</v>
      </c>
      <c r="EY70" s="14">
        <f t="shared" si="139"/>
        <v>155.19999999999996</v>
      </c>
      <c r="EZ70" s="14">
        <f t="shared" si="139"/>
        <v>155.19999999999996</v>
      </c>
      <c r="FA70" s="14">
        <f t="shared" si="139"/>
        <v>155.19999999999996</v>
      </c>
      <c r="FB70" s="14">
        <f>FA71+14.9</f>
        <v>145.09999999999997</v>
      </c>
      <c r="FC70" s="14">
        <f t="shared" si="139"/>
        <v>145.09999999999997</v>
      </c>
      <c r="FD70" s="14">
        <f t="shared" si="139"/>
        <v>145.09999999999997</v>
      </c>
      <c r="FE70" s="14">
        <f t="shared" si="139"/>
        <v>145.09999999999997</v>
      </c>
      <c r="FF70" s="14">
        <f t="shared" si="139"/>
        <v>145.09999999999997</v>
      </c>
      <c r="FG70" s="14">
        <f t="shared" si="139"/>
        <v>105.09999999999997</v>
      </c>
      <c r="FH70" s="14">
        <f>FG71+15.8</f>
        <v>120.89999999999996</v>
      </c>
      <c r="FI70" s="14">
        <f>FH71+129</f>
        <v>249.89999999999998</v>
      </c>
      <c r="FJ70" s="14">
        <f t="shared" si="139"/>
        <v>249.89999999999998</v>
      </c>
      <c r="FK70" s="14">
        <f t="shared" si="139"/>
        <v>249.89999999999998</v>
      </c>
      <c r="FL70" s="14">
        <f>FK71+11.9</f>
        <v>261.79999999999995</v>
      </c>
      <c r="FM70" s="14">
        <f t="shared" si="139"/>
        <v>261.79999999999995</v>
      </c>
      <c r="FN70" s="14">
        <f t="shared" si="139"/>
        <v>261.79999999999995</v>
      </c>
      <c r="FO70" s="14">
        <f t="shared" si="139"/>
        <v>261.79999999999995</v>
      </c>
      <c r="FP70" s="14">
        <f t="shared" si="139"/>
        <v>261.79999999999995</v>
      </c>
      <c r="FQ70" s="14">
        <f t="shared" si="139"/>
        <v>261.79999999999995</v>
      </c>
      <c r="FR70" s="14">
        <f>FQ71+114.5+2.1</f>
        <v>378.4</v>
      </c>
      <c r="FS70" s="14">
        <f t="shared" si="139"/>
        <v>238.39999999999998</v>
      </c>
      <c r="FT70" s="14">
        <f>FS71+3.1</f>
        <v>201.49999999999997</v>
      </c>
      <c r="FU70" s="14">
        <f t="shared" si="139"/>
        <v>161.49999999999997</v>
      </c>
      <c r="FV70" s="14">
        <f t="shared" si="139"/>
        <v>121.49999999999997</v>
      </c>
      <c r="FW70" s="14">
        <f t="shared" si="139"/>
        <v>81.49999999999997</v>
      </c>
      <c r="FX70" s="14">
        <f t="shared" si="139"/>
        <v>81.49999999999997</v>
      </c>
      <c r="FY70" s="14">
        <f t="shared" si="139"/>
        <v>61.49999999999997</v>
      </c>
      <c r="FZ70" s="14">
        <f t="shared" si="139"/>
        <v>41.49999999999997</v>
      </c>
      <c r="GA70" s="14">
        <f t="shared" si="139"/>
        <v>21.49999999999997</v>
      </c>
      <c r="GB70" s="14">
        <f t="shared" si="139"/>
        <v>21.49999999999997</v>
      </c>
      <c r="GC70" s="14">
        <f t="shared" si="139"/>
        <v>21.49999999999997</v>
      </c>
      <c r="GD70" s="14">
        <f t="shared" si="139"/>
        <v>21.49999999999997</v>
      </c>
      <c r="GE70" s="14">
        <f t="shared" si="139"/>
        <v>21.49999999999997</v>
      </c>
      <c r="GF70" s="14">
        <f t="shared" si="139"/>
        <v>21.49999999999997</v>
      </c>
      <c r="GG70" s="14">
        <f t="shared" si="139"/>
        <v>21.49999999999997</v>
      </c>
      <c r="GH70" s="14">
        <f t="shared" si="139"/>
        <v>21.49999999999997</v>
      </c>
      <c r="GI70" s="14">
        <f t="shared" si="139"/>
        <v>21.49999999999997</v>
      </c>
      <c r="GJ70" s="14">
        <f t="shared" si="139"/>
        <v>21.49999999999997</v>
      </c>
      <c r="GK70" s="14">
        <f t="shared" si="139"/>
        <v>21.49999999999997</v>
      </c>
      <c r="GL70" s="14">
        <f t="shared" si="139"/>
        <v>21.49999999999997</v>
      </c>
      <c r="GM70" s="14">
        <f t="shared" si="139"/>
        <v>21.49999999999997</v>
      </c>
      <c r="GN70" s="14">
        <f t="shared" si="139"/>
        <v>21.49999999999997</v>
      </c>
      <c r="GO70" s="14">
        <f t="shared" si="139"/>
        <v>21.49999999999997</v>
      </c>
    </row>
    <row r="71" spans="1:197" ht="15">
      <c r="A71" s="4"/>
      <c r="B71" s="4"/>
      <c r="C71" s="12" t="s">
        <v>218</v>
      </c>
      <c r="D71" s="16">
        <f>D70-D69</f>
        <v>116.3</v>
      </c>
      <c r="E71" s="16">
        <f>E70-E69</f>
        <v>116.3</v>
      </c>
      <c r="F71" s="16">
        <f aca="true" t="shared" si="140" ref="F71:BQ71">F70-F69</f>
        <v>91.4</v>
      </c>
      <c r="G71" s="16">
        <f t="shared" si="140"/>
        <v>150.2</v>
      </c>
      <c r="H71" s="16">
        <f t="shared" si="140"/>
        <v>150.2</v>
      </c>
      <c r="I71" s="16">
        <f t="shared" si="140"/>
        <v>150.2</v>
      </c>
      <c r="J71" s="16">
        <f t="shared" si="140"/>
        <v>150.2</v>
      </c>
      <c r="K71" s="16">
        <f t="shared" si="140"/>
        <v>150.2</v>
      </c>
      <c r="L71" s="16">
        <f t="shared" si="140"/>
        <v>150.2</v>
      </c>
      <c r="M71" s="16">
        <f t="shared" si="140"/>
        <v>150.2</v>
      </c>
      <c r="N71" s="16">
        <f t="shared" si="140"/>
        <v>150.2</v>
      </c>
      <c r="O71" s="17">
        <f t="shared" si="140"/>
        <v>50.19999999999999</v>
      </c>
      <c r="P71" s="16">
        <f t="shared" si="140"/>
        <v>104.69999999999999</v>
      </c>
      <c r="Q71" s="16">
        <f t="shared" si="140"/>
        <v>104.69999999999999</v>
      </c>
      <c r="R71" s="16">
        <f t="shared" si="140"/>
        <v>104.69999999999999</v>
      </c>
      <c r="S71" s="16">
        <f t="shared" si="140"/>
        <v>74.69999999999999</v>
      </c>
      <c r="T71" s="16">
        <f t="shared" si="140"/>
        <v>44.69999999999999</v>
      </c>
      <c r="U71" s="16">
        <f t="shared" si="140"/>
        <v>44.69999999999999</v>
      </c>
      <c r="V71" s="16">
        <f t="shared" si="140"/>
        <v>44.69999999999999</v>
      </c>
      <c r="W71" s="16">
        <f t="shared" si="140"/>
        <v>44.69999999999999</v>
      </c>
      <c r="X71" s="17">
        <f t="shared" si="140"/>
        <v>1.5999999999999872</v>
      </c>
      <c r="Y71" s="16">
        <f t="shared" si="140"/>
        <v>1.5999999999999872</v>
      </c>
      <c r="Z71" s="16">
        <f t="shared" si="140"/>
        <v>1.5999999999999872</v>
      </c>
      <c r="AA71" s="16">
        <f t="shared" si="140"/>
        <v>1.5999999999999872</v>
      </c>
      <c r="AB71" s="16">
        <f t="shared" si="140"/>
        <v>1.5999999999999872</v>
      </c>
      <c r="AC71" s="16">
        <f t="shared" si="140"/>
        <v>1.5999999999999872</v>
      </c>
      <c r="AD71" s="16">
        <f t="shared" si="140"/>
        <v>1.5999999999999872</v>
      </c>
      <c r="AE71" s="16">
        <f t="shared" si="140"/>
        <v>1.5999999999999872</v>
      </c>
      <c r="AF71" s="16">
        <f t="shared" si="140"/>
        <v>27.799999999999986</v>
      </c>
      <c r="AG71" s="16">
        <f t="shared" si="140"/>
        <v>27.799999999999986</v>
      </c>
      <c r="AH71" s="16">
        <f t="shared" si="140"/>
        <v>27.799999999999986</v>
      </c>
      <c r="AI71" s="16">
        <f t="shared" si="140"/>
        <v>27.799999999999986</v>
      </c>
      <c r="AJ71" s="16">
        <f t="shared" si="140"/>
        <v>27.799999999999986</v>
      </c>
      <c r="AK71" s="16">
        <f t="shared" si="140"/>
        <v>50.39999999999999</v>
      </c>
      <c r="AL71" s="16">
        <f t="shared" si="140"/>
        <v>50.39999999999999</v>
      </c>
      <c r="AM71" s="16">
        <f t="shared" si="140"/>
        <v>50.39999999999999</v>
      </c>
      <c r="AN71" s="16">
        <f t="shared" si="140"/>
        <v>50.39999999999999</v>
      </c>
      <c r="AO71" s="16">
        <f t="shared" si="140"/>
        <v>50.39999999999999</v>
      </c>
      <c r="AP71" s="16">
        <f t="shared" si="140"/>
        <v>50.39999999999999</v>
      </c>
      <c r="AQ71" s="16">
        <f t="shared" si="140"/>
        <v>0</v>
      </c>
      <c r="AR71" s="16">
        <f t="shared" si="140"/>
        <v>0</v>
      </c>
      <c r="AS71" s="16">
        <f t="shared" si="140"/>
        <v>0</v>
      </c>
      <c r="AT71" s="16">
        <f t="shared" si="140"/>
        <v>91.8</v>
      </c>
      <c r="AU71" s="16">
        <f t="shared" si="140"/>
        <v>91.8</v>
      </c>
      <c r="AV71" s="16">
        <f t="shared" si="140"/>
        <v>61.8</v>
      </c>
      <c r="AW71" s="16">
        <f t="shared" si="140"/>
        <v>61.8</v>
      </c>
      <c r="AX71" s="16">
        <f t="shared" si="140"/>
        <v>31.799999999999997</v>
      </c>
      <c r="AY71" s="16">
        <f t="shared" si="140"/>
        <v>31.799999999999997</v>
      </c>
      <c r="AZ71" s="16">
        <f t="shared" si="140"/>
        <v>0</v>
      </c>
      <c r="BA71" s="16">
        <f t="shared" si="140"/>
        <v>0</v>
      </c>
      <c r="BB71" s="16">
        <f t="shared" si="140"/>
        <v>0</v>
      </c>
      <c r="BC71" s="16">
        <f t="shared" si="140"/>
        <v>0</v>
      </c>
      <c r="BD71" s="16">
        <f t="shared" si="140"/>
        <v>0</v>
      </c>
      <c r="BE71" s="16">
        <f t="shared" si="140"/>
        <v>0</v>
      </c>
      <c r="BF71" s="16">
        <f t="shared" si="140"/>
        <v>70.19999999999999</v>
      </c>
      <c r="BG71" s="16">
        <f t="shared" si="140"/>
        <v>70.19999999999999</v>
      </c>
      <c r="BH71" s="16">
        <f t="shared" si="140"/>
        <v>70.19999999999999</v>
      </c>
      <c r="BI71" s="16">
        <f t="shared" si="140"/>
        <v>70.19999999999999</v>
      </c>
      <c r="BJ71" s="16">
        <f t="shared" si="140"/>
        <v>70.19999999999999</v>
      </c>
      <c r="BK71" s="16">
        <f t="shared" si="140"/>
        <v>70.19999999999999</v>
      </c>
      <c r="BL71" s="16">
        <f t="shared" si="140"/>
        <v>70.19999999999999</v>
      </c>
      <c r="BM71" s="16">
        <f t="shared" si="140"/>
        <v>70.19999999999999</v>
      </c>
      <c r="BN71" s="16">
        <f t="shared" si="140"/>
        <v>70.19999999999999</v>
      </c>
      <c r="BO71" s="16">
        <f t="shared" si="140"/>
        <v>137.6</v>
      </c>
      <c r="BP71" s="16">
        <f t="shared" si="140"/>
        <v>67.6</v>
      </c>
      <c r="BQ71" s="16">
        <f t="shared" si="140"/>
        <v>67.6</v>
      </c>
      <c r="BR71" s="16">
        <f aca="true" t="shared" si="141" ref="BR71:EC71">BR70-BR69</f>
        <v>131.2</v>
      </c>
      <c r="BS71" s="16">
        <f t="shared" si="141"/>
        <v>131.2</v>
      </c>
      <c r="BT71" s="27">
        <f t="shared" si="141"/>
        <v>131.2</v>
      </c>
      <c r="BU71" s="27">
        <f t="shared" si="141"/>
        <v>131.2</v>
      </c>
      <c r="BV71" s="27">
        <f t="shared" si="141"/>
        <v>131.2</v>
      </c>
      <c r="BW71" s="16">
        <f t="shared" si="141"/>
        <v>86.19999999999999</v>
      </c>
      <c r="BX71" s="16">
        <f t="shared" si="141"/>
        <v>155.89999999999998</v>
      </c>
      <c r="BY71" s="16">
        <f t="shared" si="141"/>
        <v>155.89999999999998</v>
      </c>
      <c r="BZ71" s="16">
        <f t="shared" si="141"/>
        <v>105.89999999999998</v>
      </c>
      <c r="CA71" s="16">
        <f t="shared" si="141"/>
        <v>75.89999999999998</v>
      </c>
      <c r="CB71" s="16">
        <f t="shared" si="141"/>
        <v>55.89999999999998</v>
      </c>
      <c r="CC71" s="16">
        <f t="shared" si="141"/>
        <v>35.89999999999998</v>
      </c>
      <c r="CD71" s="16">
        <f t="shared" si="141"/>
        <v>131.2</v>
      </c>
      <c r="CE71" s="16">
        <f t="shared" si="141"/>
        <v>131.2</v>
      </c>
      <c r="CF71" s="16">
        <f t="shared" si="141"/>
        <v>131.2</v>
      </c>
      <c r="CG71" s="16">
        <f t="shared" si="141"/>
        <v>111.19999999999999</v>
      </c>
      <c r="CH71" s="16">
        <f t="shared" si="141"/>
        <v>91.19999999999999</v>
      </c>
      <c r="CI71" s="16">
        <f t="shared" si="141"/>
        <v>91.19999999999999</v>
      </c>
      <c r="CJ71" s="16">
        <f t="shared" si="141"/>
        <v>91.19999999999999</v>
      </c>
      <c r="CK71" s="16">
        <f t="shared" si="141"/>
        <v>91.19999999999999</v>
      </c>
      <c r="CL71" s="16">
        <f t="shared" si="141"/>
        <v>91.19999999999999</v>
      </c>
      <c r="CM71" s="16">
        <f t="shared" si="141"/>
        <v>91.19999999999999</v>
      </c>
      <c r="CN71" s="16">
        <f t="shared" si="141"/>
        <v>91.19999999999999</v>
      </c>
      <c r="CO71" s="16">
        <f t="shared" si="141"/>
        <v>91.19999999999999</v>
      </c>
      <c r="CP71" s="16">
        <f t="shared" si="141"/>
        <v>51.19999999999999</v>
      </c>
      <c r="CQ71" s="16">
        <f t="shared" si="141"/>
        <v>51.19999999999999</v>
      </c>
      <c r="CR71" s="16">
        <f t="shared" si="141"/>
        <v>51.19999999999999</v>
      </c>
      <c r="CS71" s="16">
        <f t="shared" si="141"/>
        <v>51.19999999999999</v>
      </c>
      <c r="CT71" s="16">
        <f t="shared" si="141"/>
        <v>144.6</v>
      </c>
      <c r="CU71" s="16">
        <f t="shared" si="141"/>
        <v>114.6</v>
      </c>
      <c r="CV71" s="16">
        <f t="shared" si="141"/>
        <v>84.6</v>
      </c>
      <c r="CW71" s="16">
        <f t="shared" si="141"/>
        <v>4.8999999999999915</v>
      </c>
      <c r="CX71" s="16">
        <f t="shared" si="141"/>
        <v>114.1</v>
      </c>
      <c r="CY71" s="16">
        <f t="shared" si="141"/>
        <v>114.1</v>
      </c>
      <c r="CZ71" s="16">
        <f t="shared" si="141"/>
        <v>74.1</v>
      </c>
      <c r="DA71" s="16">
        <f t="shared" si="141"/>
        <v>74.1</v>
      </c>
      <c r="DB71" s="16">
        <f t="shared" si="141"/>
        <v>54.099999999999994</v>
      </c>
      <c r="DC71" s="16">
        <f t="shared" si="141"/>
        <v>54.099999999999994</v>
      </c>
      <c r="DD71" s="16">
        <f t="shared" si="141"/>
        <v>54.099999999999994</v>
      </c>
      <c r="DE71" s="16">
        <f t="shared" si="141"/>
        <v>135.5</v>
      </c>
      <c r="DF71" s="16">
        <f t="shared" si="141"/>
        <v>110.5</v>
      </c>
      <c r="DG71" s="16">
        <f t="shared" si="141"/>
        <v>85.5</v>
      </c>
      <c r="DH71" s="16">
        <f t="shared" si="141"/>
        <v>60.5</v>
      </c>
      <c r="DI71" s="16">
        <f t="shared" si="141"/>
        <v>60.5</v>
      </c>
      <c r="DJ71" s="16">
        <f t="shared" si="141"/>
        <v>60.5</v>
      </c>
      <c r="DK71" s="16">
        <f t="shared" si="141"/>
        <v>140.2</v>
      </c>
      <c r="DL71" s="16">
        <f t="shared" si="141"/>
        <v>140.2</v>
      </c>
      <c r="DM71" s="16">
        <f t="shared" si="141"/>
        <v>140.2</v>
      </c>
      <c r="DN71" s="16">
        <f t="shared" si="141"/>
        <v>140.2</v>
      </c>
      <c r="DO71" s="16">
        <f t="shared" si="141"/>
        <v>140.2</v>
      </c>
      <c r="DP71" s="17">
        <f t="shared" si="141"/>
        <v>140.2</v>
      </c>
      <c r="DQ71" s="17">
        <f t="shared" si="141"/>
        <v>60.19999999999999</v>
      </c>
      <c r="DR71" s="17">
        <f t="shared" si="141"/>
        <v>40.19999999999999</v>
      </c>
      <c r="DS71" s="17">
        <f t="shared" si="141"/>
        <v>40.19999999999999</v>
      </c>
      <c r="DT71" s="17">
        <f t="shared" si="141"/>
        <v>20.19999999999999</v>
      </c>
      <c r="DU71" s="16">
        <f t="shared" si="141"/>
        <v>20.19999999999999</v>
      </c>
      <c r="DV71" s="16">
        <f t="shared" si="141"/>
        <v>20.19999999999999</v>
      </c>
      <c r="DW71" s="16">
        <f t="shared" si="141"/>
        <v>165.2</v>
      </c>
      <c r="DX71" s="16">
        <f t="shared" si="141"/>
        <v>165.2</v>
      </c>
      <c r="DY71" s="16">
        <f t="shared" si="141"/>
        <v>150.2</v>
      </c>
      <c r="DZ71" s="16">
        <f t="shared" si="141"/>
        <v>130.2</v>
      </c>
      <c r="EA71" s="16">
        <f t="shared" si="141"/>
        <v>130.2</v>
      </c>
      <c r="EB71" s="16">
        <f t="shared" si="141"/>
        <v>110.19999999999999</v>
      </c>
      <c r="EC71" s="16">
        <f t="shared" si="141"/>
        <v>110.19999999999999</v>
      </c>
      <c r="ED71" s="16">
        <f aca="true" t="shared" si="142" ref="ED71:GO71">ED70-ED69</f>
        <v>90.19999999999999</v>
      </c>
      <c r="EE71" s="16">
        <f t="shared" si="142"/>
        <v>217.89999999999998</v>
      </c>
      <c r="EF71" s="16">
        <f t="shared" si="142"/>
        <v>217.89999999999998</v>
      </c>
      <c r="EG71" s="16">
        <f t="shared" si="142"/>
        <v>192.89999999999998</v>
      </c>
      <c r="EH71" s="16">
        <f t="shared" si="142"/>
        <v>192.89999999999998</v>
      </c>
      <c r="EI71" s="16">
        <f t="shared" si="142"/>
        <v>192.89999999999998</v>
      </c>
      <c r="EJ71" s="16">
        <f t="shared" si="142"/>
        <v>192.89999999999998</v>
      </c>
      <c r="EK71" s="16">
        <f t="shared" si="142"/>
        <v>192.89999999999998</v>
      </c>
      <c r="EL71" s="16">
        <f t="shared" si="142"/>
        <v>167.89999999999998</v>
      </c>
      <c r="EM71" s="16">
        <f t="shared" si="142"/>
        <v>167.89999999999998</v>
      </c>
      <c r="EN71" s="16">
        <f t="shared" si="142"/>
        <v>183.99999999999997</v>
      </c>
      <c r="EO71" s="16">
        <f t="shared" si="142"/>
        <v>301.9</v>
      </c>
      <c r="EP71" s="16">
        <f t="shared" si="142"/>
        <v>91.89999999999998</v>
      </c>
      <c r="EQ71" s="16">
        <f t="shared" si="142"/>
        <v>91.89999999999998</v>
      </c>
      <c r="ER71" s="16">
        <f t="shared" si="142"/>
        <v>56.89999999999998</v>
      </c>
      <c r="ES71" s="16">
        <f t="shared" si="142"/>
        <v>56.89999999999998</v>
      </c>
      <c r="ET71" s="16">
        <f t="shared" si="142"/>
        <v>70.59999999999998</v>
      </c>
      <c r="EU71" s="16">
        <f t="shared" si="142"/>
        <v>70.59999999999998</v>
      </c>
      <c r="EV71" s="16">
        <f t="shared" si="142"/>
        <v>204.89999999999998</v>
      </c>
      <c r="EW71" s="16">
        <f t="shared" si="142"/>
        <v>175.19999999999996</v>
      </c>
      <c r="EX71" s="16">
        <f t="shared" si="142"/>
        <v>155.19999999999996</v>
      </c>
      <c r="EY71" s="16">
        <f t="shared" si="142"/>
        <v>155.19999999999996</v>
      </c>
      <c r="EZ71" s="16">
        <f t="shared" si="142"/>
        <v>155.19999999999996</v>
      </c>
      <c r="FA71" s="16">
        <f t="shared" si="142"/>
        <v>130.19999999999996</v>
      </c>
      <c r="FB71" s="16">
        <f t="shared" si="142"/>
        <v>145.09999999999997</v>
      </c>
      <c r="FC71" s="16">
        <f t="shared" si="142"/>
        <v>145.09999999999997</v>
      </c>
      <c r="FD71" s="16">
        <f t="shared" si="142"/>
        <v>145.09999999999997</v>
      </c>
      <c r="FE71" s="16">
        <f t="shared" si="142"/>
        <v>145.09999999999997</v>
      </c>
      <c r="FF71" s="16">
        <f t="shared" si="142"/>
        <v>105.09999999999997</v>
      </c>
      <c r="FG71" s="16">
        <f t="shared" si="142"/>
        <v>105.09999999999997</v>
      </c>
      <c r="FH71" s="16">
        <f t="shared" si="142"/>
        <v>120.89999999999996</v>
      </c>
      <c r="FI71" s="16">
        <f t="shared" si="142"/>
        <v>249.89999999999998</v>
      </c>
      <c r="FJ71" s="16">
        <f t="shared" si="142"/>
        <v>249.89999999999998</v>
      </c>
      <c r="FK71" s="16">
        <f t="shared" si="142"/>
        <v>249.89999999999998</v>
      </c>
      <c r="FL71" s="16">
        <f t="shared" si="142"/>
        <v>261.79999999999995</v>
      </c>
      <c r="FM71" s="16">
        <f t="shared" si="142"/>
        <v>261.79999999999995</v>
      </c>
      <c r="FN71" s="16">
        <f t="shared" si="142"/>
        <v>261.79999999999995</v>
      </c>
      <c r="FO71" s="16">
        <f t="shared" si="142"/>
        <v>261.79999999999995</v>
      </c>
      <c r="FP71" s="16">
        <f t="shared" si="142"/>
        <v>261.79999999999995</v>
      </c>
      <c r="FQ71" s="16">
        <f t="shared" si="142"/>
        <v>261.79999999999995</v>
      </c>
      <c r="FR71" s="16">
        <f t="shared" si="142"/>
        <v>238.39999999999998</v>
      </c>
      <c r="FS71" s="16">
        <f t="shared" si="142"/>
        <v>198.39999999999998</v>
      </c>
      <c r="FT71" s="16">
        <f t="shared" si="142"/>
        <v>161.49999999999997</v>
      </c>
      <c r="FU71" s="16">
        <f t="shared" si="142"/>
        <v>121.49999999999997</v>
      </c>
      <c r="FV71" s="16">
        <f t="shared" si="142"/>
        <v>81.49999999999997</v>
      </c>
      <c r="FW71" s="16">
        <f t="shared" si="142"/>
        <v>81.49999999999997</v>
      </c>
      <c r="FX71" s="16">
        <f t="shared" si="142"/>
        <v>61.49999999999997</v>
      </c>
      <c r="FY71" s="16">
        <f t="shared" si="142"/>
        <v>41.49999999999997</v>
      </c>
      <c r="FZ71" s="16">
        <f t="shared" si="142"/>
        <v>21.49999999999997</v>
      </c>
      <c r="GA71" s="16">
        <f t="shared" si="142"/>
        <v>21.49999999999997</v>
      </c>
      <c r="GB71" s="16">
        <f t="shared" si="142"/>
        <v>21.49999999999997</v>
      </c>
      <c r="GC71" s="16">
        <f t="shared" si="142"/>
        <v>21.49999999999997</v>
      </c>
      <c r="GD71" s="16">
        <f t="shared" si="142"/>
        <v>21.49999999999997</v>
      </c>
      <c r="GE71" s="16">
        <f t="shared" si="142"/>
        <v>21.49999999999997</v>
      </c>
      <c r="GF71" s="16">
        <f t="shared" si="142"/>
        <v>21.49999999999997</v>
      </c>
      <c r="GG71" s="16">
        <f t="shared" si="142"/>
        <v>21.49999999999997</v>
      </c>
      <c r="GH71" s="16">
        <f t="shared" si="142"/>
        <v>21.49999999999997</v>
      </c>
      <c r="GI71" s="16">
        <f t="shared" si="142"/>
        <v>21.49999999999997</v>
      </c>
      <c r="GJ71" s="16">
        <f t="shared" si="142"/>
        <v>21.49999999999997</v>
      </c>
      <c r="GK71" s="16">
        <f t="shared" si="142"/>
        <v>21.49999999999997</v>
      </c>
      <c r="GL71" s="16">
        <f t="shared" si="142"/>
        <v>21.49999999999997</v>
      </c>
      <c r="GM71" s="16">
        <f t="shared" si="142"/>
        <v>21.49999999999997</v>
      </c>
      <c r="GN71" s="16">
        <f t="shared" si="142"/>
        <v>21.49999999999997</v>
      </c>
      <c r="GO71" s="16">
        <f t="shared" si="142"/>
        <v>21.49999999999997</v>
      </c>
    </row>
    <row r="72" spans="1:256" s="9" customFormat="1" ht="15">
      <c r="A72" s="4" t="s">
        <v>244</v>
      </c>
      <c r="B72" s="4">
        <v>14</v>
      </c>
      <c r="C72" s="12" t="s">
        <v>216</v>
      </c>
      <c r="O72" s="29"/>
      <c r="X72" s="19">
        <v>23.7</v>
      </c>
      <c r="AA72" s="29"/>
      <c r="AB72" s="19">
        <v>15</v>
      </c>
      <c r="AQ72" s="19">
        <v>47.7</v>
      </c>
      <c r="AZ72" s="30">
        <v>10</v>
      </c>
      <c r="BB72" s="30">
        <v>8.5</v>
      </c>
      <c r="BF72" s="30">
        <v>10</v>
      </c>
      <c r="BT72" s="31"/>
      <c r="BU72" s="31"/>
      <c r="BV72" s="31"/>
      <c r="BX72" s="9">
        <v>15</v>
      </c>
      <c r="BZ72" s="30">
        <v>15</v>
      </c>
      <c r="CD72" s="19">
        <v>15.8</v>
      </c>
      <c r="CP72" s="19">
        <v>31.9</v>
      </c>
      <c r="CZ72" s="30">
        <v>20</v>
      </c>
      <c r="DF72" s="30">
        <v>25.8</v>
      </c>
      <c r="DP72" s="29"/>
      <c r="DQ72" s="29"/>
      <c r="DR72" s="29"/>
      <c r="DS72" s="29"/>
      <c r="DT72" s="29"/>
      <c r="EP72" s="19">
        <v>78</v>
      </c>
      <c r="FR72" s="9">
        <v>30.3</v>
      </c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197" ht="15">
      <c r="A73" s="4"/>
      <c r="B73" s="4"/>
      <c r="C73" s="12" t="s">
        <v>217</v>
      </c>
      <c r="D73" s="14">
        <v>23.699999999999996</v>
      </c>
      <c r="E73" s="14">
        <f>D74</f>
        <v>23.699999999999996</v>
      </c>
      <c r="F73" s="14">
        <f aca="true" t="shared" si="143" ref="F73:BQ73">E74</f>
        <v>23.699999999999996</v>
      </c>
      <c r="G73" s="14">
        <f t="shared" si="143"/>
        <v>23.699999999999996</v>
      </c>
      <c r="H73" s="14">
        <f t="shared" si="143"/>
        <v>23.699999999999996</v>
      </c>
      <c r="I73" s="14">
        <f t="shared" si="143"/>
        <v>23.699999999999996</v>
      </c>
      <c r="J73" s="14">
        <f t="shared" si="143"/>
        <v>23.699999999999996</v>
      </c>
      <c r="K73" s="14">
        <f t="shared" si="143"/>
        <v>23.699999999999996</v>
      </c>
      <c r="L73" s="14">
        <f t="shared" si="143"/>
        <v>23.699999999999996</v>
      </c>
      <c r="M73" s="14">
        <f t="shared" si="143"/>
        <v>23.699999999999996</v>
      </c>
      <c r="N73" s="14">
        <f t="shared" si="143"/>
        <v>23.699999999999996</v>
      </c>
      <c r="O73" s="15">
        <f>N74+62.7</f>
        <v>86.4</v>
      </c>
      <c r="P73" s="14">
        <f t="shared" si="143"/>
        <v>86.4</v>
      </c>
      <c r="Q73" s="14">
        <f t="shared" si="143"/>
        <v>86.4</v>
      </c>
      <c r="R73" s="14">
        <f t="shared" si="143"/>
        <v>86.4</v>
      </c>
      <c r="S73" s="14">
        <f t="shared" si="143"/>
        <v>86.4</v>
      </c>
      <c r="T73" s="14">
        <f t="shared" si="143"/>
        <v>86.4</v>
      </c>
      <c r="U73" s="14">
        <f t="shared" si="143"/>
        <v>86.4</v>
      </c>
      <c r="V73" s="14">
        <f t="shared" si="143"/>
        <v>86.4</v>
      </c>
      <c r="W73" s="14">
        <f t="shared" si="143"/>
        <v>86.4</v>
      </c>
      <c r="X73" s="15">
        <f t="shared" si="143"/>
        <v>86.4</v>
      </c>
      <c r="Y73" s="14">
        <f t="shared" si="143"/>
        <v>62.7</v>
      </c>
      <c r="Z73" s="14">
        <f t="shared" si="143"/>
        <v>62.7</v>
      </c>
      <c r="AA73" s="14">
        <f t="shared" si="143"/>
        <v>62.7</v>
      </c>
      <c r="AB73" s="14">
        <f t="shared" si="143"/>
        <v>62.7</v>
      </c>
      <c r="AC73" s="14">
        <f t="shared" si="143"/>
        <v>47.7</v>
      </c>
      <c r="AD73" s="14">
        <f t="shared" si="143"/>
        <v>47.7</v>
      </c>
      <c r="AE73" s="14">
        <f t="shared" si="143"/>
        <v>47.7</v>
      </c>
      <c r="AF73" s="14">
        <f t="shared" si="143"/>
        <v>47.7</v>
      </c>
      <c r="AG73" s="14">
        <f t="shared" si="143"/>
        <v>47.7</v>
      </c>
      <c r="AH73" s="14">
        <f t="shared" si="143"/>
        <v>47.7</v>
      </c>
      <c r="AI73" s="14">
        <f t="shared" si="143"/>
        <v>47.7</v>
      </c>
      <c r="AJ73" s="14">
        <f t="shared" si="143"/>
        <v>47.7</v>
      </c>
      <c r="AK73" s="14">
        <f t="shared" si="143"/>
        <v>47.7</v>
      </c>
      <c r="AL73" s="14">
        <f t="shared" si="143"/>
        <v>47.7</v>
      </c>
      <c r="AM73" s="14">
        <f t="shared" si="143"/>
        <v>47.7</v>
      </c>
      <c r="AN73" s="14">
        <f>AM74+25.3</f>
        <v>73</v>
      </c>
      <c r="AO73" s="14">
        <f t="shared" si="143"/>
        <v>73</v>
      </c>
      <c r="AP73" s="14">
        <f t="shared" si="143"/>
        <v>73</v>
      </c>
      <c r="AQ73" s="14">
        <f t="shared" si="143"/>
        <v>73</v>
      </c>
      <c r="AR73" s="14">
        <f t="shared" si="143"/>
        <v>25.299999999999997</v>
      </c>
      <c r="AS73" s="14">
        <f t="shared" si="143"/>
        <v>25.299999999999997</v>
      </c>
      <c r="AT73" s="14">
        <f t="shared" si="143"/>
        <v>25.299999999999997</v>
      </c>
      <c r="AU73" s="14">
        <f t="shared" si="143"/>
        <v>25.299999999999997</v>
      </c>
      <c r="AV73" s="14">
        <f>AU74+3.2</f>
        <v>28.499999999999996</v>
      </c>
      <c r="AW73" s="14">
        <f t="shared" si="143"/>
        <v>28.499999999999996</v>
      </c>
      <c r="AX73" s="14">
        <f t="shared" si="143"/>
        <v>28.499999999999996</v>
      </c>
      <c r="AY73" s="14">
        <f t="shared" si="143"/>
        <v>28.499999999999996</v>
      </c>
      <c r="AZ73" s="14">
        <f t="shared" si="143"/>
        <v>28.499999999999996</v>
      </c>
      <c r="BA73" s="14">
        <f t="shared" si="143"/>
        <v>18.499999999999996</v>
      </c>
      <c r="BB73" s="14">
        <f t="shared" si="143"/>
        <v>18.499999999999996</v>
      </c>
      <c r="BC73" s="14">
        <f t="shared" si="143"/>
        <v>9.999999999999996</v>
      </c>
      <c r="BD73" s="14">
        <f t="shared" si="143"/>
        <v>9.999999999999996</v>
      </c>
      <c r="BE73" s="14">
        <f t="shared" si="143"/>
        <v>9.999999999999996</v>
      </c>
      <c r="BF73" s="14">
        <f t="shared" si="143"/>
        <v>9.999999999999996</v>
      </c>
      <c r="BG73" s="14">
        <f t="shared" si="143"/>
        <v>0</v>
      </c>
      <c r="BH73" s="14">
        <f t="shared" si="143"/>
        <v>0</v>
      </c>
      <c r="BI73" s="14">
        <f t="shared" si="143"/>
        <v>0</v>
      </c>
      <c r="BJ73" s="14">
        <f t="shared" si="143"/>
        <v>0</v>
      </c>
      <c r="BK73" s="14">
        <f t="shared" si="143"/>
        <v>0</v>
      </c>
      <c r="BL73" s="14">
        <f t="shared" si="143"/>
        <v>0</v>
      </c>
      <c r="BM73" s="14">
        <f t="shared" si="143"/>
        <v>0</v>
      </c>
      <c r="BN73" s="14">
        <f t="shared" si="143"/>
        <v>0</v>
      </c>
      <c r="BO73" s="14">
        <f t="shared" si="143"/>
        <v>0</v>
      </c>
      <c r="BP73" s="14">
        <f t="shared" si="143"/>
        <v>0</v>
      </c>
      <c r="BQ73" s="14">
        <f t="shared" si="143"/>
        <v>0</v>
      </c>
      <c r="BR73" s="14">
        <f>BQ74+45.8</f>
        <v>45.8</v>
      </c>
      <c r="BS73" s="14">
        <f aca="true" t="shared" si="144" ref="BS73:EC73">BR74</f>
        <v>45.8</v>
      </c>
      <c r="BT73" s="26">
        <f t="shared" si="144"/>
        <v>45.8</v>
      </c>
      <c r="BU73" s="26">
        <f t="shared" si="144"/>
        <v>45.8</v>
      </c>
      <c r="BV73" s="26">
        <f t="shared" si="144"/>
        <v>45.8</v>
      </c>
      <c r="BW73" s="14">
        <f t="shared" si="144"/>
        <v>45.8</v>
      </c>
      <c r="BX73" s="14">
        <f t="shared" si="144"/>
        <v>45.8</v>
      </c>
      <c r="BY73" s="14">
        <f t="shared" si="144"/>
        <v>30.799999999999997</v>
      </c>
      <c r="BZ73" s="14">
        <f t="shared" si="144"/>
        <v>30.799999999999997</v>
      </c>
      <c r="CA73" s="14">
        <f t="shared" si="144"/>
        <v>15.799999999999997</v>
      </c>
      <c r="CB73" s="14">
        <f t="shared" si="144"/>
        <v>15.799999999999997</v>
      </c>
      <c r="CC73" s="14">
        <f t="shared" si="144"/>
        <v>15.799999999999997</v>
      </c>
      <c r="CD73" s="14">
        <f>CC74+23.9</f>
        <v>39.699999999999996</v>
      </c>
      <c r="CE73" s="14">
        <f t="shared" si="144"/>
        <v>23.899999999999995</v>
      </c>
      <c r="CF73" s="14">
        <f t="shared" si="144"/>
        <v>23.899999999999995</v>
      </c>
      <c r="CG73" s="14">
        <f t="shared" si="144"/>
        <v>23.899999999999995</v>
      </c>
      <c r="CH73" s="14">
        <f t="shared" si="144"/>
        <v>23.899999999999995</v>
      </c>
      <c r="CI73" s="14">
        <f>CH74+8</f>
        <v>31.899999999999995</v>
      </c>
      <c r="CJ73" s="14">
        <f t="shared" si="144"/>
        <v>31.899999999999995</v>
      </c>
      <c r="CK73" s="14">
        <f t="shared" si="144"/>
        <v>31.899999999999995</v>
      </c>
      <c r="CL73" s="14">
        <f t="shared" si="144"/>
        <v>31.899999999999995</v>
      </c>
      <c r="CM73" s="14">
        <f t="shared" si="144"/>
        <v>31.899999999999995</v>
      </c>
      <c r="CN73" s="14">
        <f t="shared" si="144"/>
        <v>31.899999999999995</v>
      </c>
      <c r="CO73" s="14">
        <f t="shared" si="144"/>
        <v>31.899999999999995</v>
      </c>
      <c r="CP73" s="14">
        <f t="shared" si="144"/>
        <v>31.899999999999995</v>
      </c>
      <c r="CQ73" s="14">
        <f t="shared" si="144"/>
        <v>0</v>
      </c>
      <c r="CR73" s="14">
        <f>CQ74+45.8</f>
        <v>45.8</v>
      </c>
      <c r="CS73" s="14">
        <f t="shared" si="144"/>
        <v>45.8</v>
      </c>
      <c r="CT73" s="14">
        <f t="shared" si="144"/>
        <v>45.8</v>
      </c>
      <c r="CU73" s="14">
        <f t="shared" si="144"/>
        <v>45.8</v>
      </c>
      <c r="CV73" s="14">
        <f t="shared" si="144"/>
        <v>45.8</v>
      </c>
      <c r="CW73" s="14">
        <f t="shared" si="144"/>
        <v>45.8</v>
      </c>
      <c r="CX73" s="14">
        <f t="shared" si="144"/>
        <v>45.8</v>
      </c>
      <c r="CY73" s="14">
        <f t="shared" si="144"/>
        <v>45.8</v>
      </c>
      <c r="CZ73" s="14">
        <f t="shared" si="144"/>
        <v>45.8</v>
      </c>
      <c r="DA73" s="14">
        <f t="shared" si="144"/>
        <v>25.799999999999997</v>
      </c>
      <c r="DB73" s="14">
        <f t="shared" si="144"/>
        <v>25.799999999999997</v>
      </c>
      <c r="DC73" s="14">
        <f t="shared" si="144"/>
        <v>25.799999999999997</v>
      </c>
      <c r="DD73" s="14">
        <f t="shared" si="144"/>
        <v>25.799999999999997</v>
      </c>
      <c r="DE73" s="14">
        <f t="shared" si="144"/>
        <v>25.799999999999997</v>
      </c>
      <c r="DF73" s="14">
        <f t="shared" si="144"/>
        <v>25.799999999999997</v>
      </c>
      <c r="DG73" s="14">
        <f t="shared" si="144"/>
        <v>0</v>
      </c>
      <c r="DH73" s="14">
        <f t="shared" si="144"/>
        <v>0</v>
      </c>
      <c r="DI73" s="14">
        <f t="shared" si="144"/>
        <v>0</v>
      </c>
      <c r="DJ73" s="14">
        <f t="shared" si="144"/>
        <v>0</v>
      </c>
      <c r="DK73" s="14">
        <f t="shared" si="144"/>
        <v>0</v>
      </c>
      <c r="DL73" s="14">
        <f t="shared" si="144"/>
        <v>0</v>
      </c>
      <c r="DM73" s="14">
        <f t="shared" si="144"/>
        <v>0</v>
      </c>
      <c r="DN73" s="14">
        <f t="shared" si="144"/>
        <v>0</v>
      </c>
      <c r="DO73" s="14">
        <f t="shared" si="144"/>
        <v>0</v>
      </c>
      <c r="DP73" s="15">
        <f t="shared" si="144"/>
        <v>0</v>
      </c>
      <c r="DQ73" s="15">
        <f t="shared" si="144"/>
        <v>0</v>
      </c>
      <c r="DR73" s="15">
        <f t="shared" si="144"/>
        <v>0</v>
      </c>
      <c r="DS73" s="15">
        <f t="shared" si="144"/>
        <v>0</v>
      </c>
      <c r="DT73" s="15">
        <f t="shared" si="144"/>
        <v>0</v>
      </c>
      <c r="DU73" s="14">
        <f t="shared" si="144"/>
        <v>0</v>
      </c>
      <c r="DV73" s="14">
        <f t="shared" si="144"/>
        <v>0</v>
      </c>
      <c r="DW73" s="14">
        <f t="shared" si="144"/>
        <v>0</v>
      </c>
      <c r="DX73" s="14">
        <f t="shared" si="144"/>
        <v>0</v>
      </c>
      <c r="DY73" s="14">
        <f t="shared" si="144"/>
        <v>0</v>
      </c>
      <c r="DZ73" s="14">
        <f>DY74+33.8+6.9</f>
        <v>40.699999999999996</v>
      </c>
      <c r="EA73" s="14">
        <f t="shared" si="144"/>
        <v>40.699999999999996</v>
      </c>
      <c r="EB73" s="14">
        <f t="shared" si="144"/>
        <v>40.699999999999996</v>
      </c>
      <c r="EC73" s="14">
        <f t="shared" si="144"/>
        <v>40.699999999999996</v>
      </c>
      <c r="ED73" s="14">
        <f aca="true" t="shared" si="145" ref="ED73:GO73">EC74</f>
        <v>40.699999999999996</v>
      </c>
      <c r="EE73" s="14">
        <f t="shared" si="145"/>
        <v>40.699999999999996</v>
      </c>
      <c r="EF73" s="14">
        <f t="shared" si="145"/>
        <v>40.699999999999996</v>
      </c>
      <c r="EG73" s="14">
        <f t="shared" si="145"/>
        <v>40.699999999999996</v>
      </c>
      <c r="EH73" s="14">
        <f t="shared" si="145"/>
        <v>40.699999999999996</v>
      </c>
      <c r="EI73" s="14">
        <f t="shared" si="145"/>
        <v>40.699999999999996</v>
      </c>
      <c r="EJ73" s="14">
        <f>EI74+37.3</f>
        <v>78</v>
      </c>
      <c r="EK73" s="14">
        <f t="shared" si="145"/>
        <v>78</v>
      </c>
      <c r="EL73" s="14">
        <f t="shared" si="145"/>
        <v>78</v>
      </c>
      <c r="EM73" s="14">
        <f t="shared" si="145"/>
        <v>78</v>
      </c>
      <c r="EN73" s="14">
        <f t="shared" si="145"/>
        <v>78</v>
      </c>
      <c r="EO73" s="14">
        <f t="shared" si="145"/>
        <v>78</v>
      </c>
      <c r="EP73" s="14">
        <f t="shared" si="145"/>
        <v>78</v>
      </c>
      <c r="EQ73" s="14">
        <f t="shared" si="145"/>
        <v>0</v>
      </c>
      <c r="ER73" s="14">
        <f>EQ74</f>
        <v>0</v>
      </c>
      <c r="ES73" s="14">
        <f>ER74</f>
        <v>0</v>
      </c>
      <c r="ET73" s="14">
        <f>ES74</f>
        <v>0</v>
      </c>
      <c r="EU73" s="14">
        <f t="shared" si="145"/>
        <v>0</v>
      </c>
      <c r="EV73" s="14">
        <f t="shared" si="145"/>
        <v>0</v>
      </c>
      <c r="EW73" s="14">
        <f t="shared" si="145"/>
        <v>0</v>
      </c>
      <c r="EX73" s="14">
        <f t="shared" si="145"/>
        <v>0</v>
      </c>
      <c r="EY73" s="14">
        <f t="shared" si="145"/>
        <v>0</v>
      </c>
      <c r="EZ73" s="14">
        <f t="shared" si="145"/>
        <v>0</v>
      </c>
      <c r="FA73" s="14">
        <f t="shared" si="145"/>
        <v>0</v>
      </c>
      <c r="FB73" s="14">
        <f t="shared" si="145"/>
        <v>0</v>
      </c>
      <c r="FC73" s="14">
        <f t="shared" si="145"/>
        <v>0</v>
      </c>
      <c r="FD73" s="14">
        <f>FC74+30.3</f>
        <v>30.3</v>
      </c>
      <c r="FE73" s="14">
        <f t="shared" si="145"/>
        <v>30.3</v>
      </c>
      <c r="FF73" s="14">
        <f t="shared" si="145"/>
        <v>30.3</v>
      </c>
      <c r="FG73" s="14">
        <f t="shared" si="145"/>
        <v>30.3</v>
      </c>
      <c r="FH73" s="14">
        <f t="shared" si="145"/>
        <v>30.3</v>
      </c>
      <c r="FI73" s="14">
        <f t="shared" si="145"/>
        <v>30.3</v>
      </c>
      <c r="FJ73" s="14">
        <f t="shared" si="145"/>
        <v>30.3</v>
      </c>
      <c r="FK73" s="14">
        <f t="shared" si="145"/>
        <v>30.3</v>
      </c>
      <c r="FL73" s="14">
        <f t="shared" si="145"/>
        <v>30.3</v>
      </c>
      <c r="FM73" s="14">
        <f t="shared" si="145"/>
        <v>30.3</v>
      </c>
      <c r="FN73" s="14">
        <f t="shared" si="145"/>
        <v>30.3</v>
      </c>
      <c r="FO73" s="14">
        <f t="shared" si="145"/>
        <v>30.3</v>
      </c>
      <c r="FP73" s="14">
        <f t="shared" si="145"/>
        <v>30.3</v>
      </c>
      <c r="FQ73" s="14">
        <f t="shared" si="145"/>
        <v>30.3</v>
      </c>
      <c r="FR73" s="14">
        <f t="shared" si="145"/>
        <v>30.3</v>
      </c>
      <c r="FS73" s="14">
        <f t="shared" si="145"/>
        <v>0</v>
      </c>
      <c r="FT73" s="14">
        <f t="shared" si="145"/>
        <v>0</v>
      </c>
      <c r="FU73" s="14">
        <f t="shared" si="145"/>
        <v>0</v>
      </c>
      <c r="FV73" s="14">
        <f t="shared" si="145"/>
        <v>0</v>
      </c>
      <c r="FW73" s="14">
        <f t="shared" si="145"/>
        <v>0</v>
      </c>
      <c r="FX73" s="14">
        <f t="shared" si="145"/>
        <v>0</v>
      </c>
      <c r="FY73" s="14">
        <f t="shared" si="145"/>
        <v>0</v>
      </c>
      <c r="FZ73" s="14">
        <f t="shared" si="145"/>
        <v>0</v>
      </c>
      <c r="GA73" s="14">
        <f t="shared" si="145"/>
        <v>0</v>
      </c>
      <c r="GB73" s="14">
        <f t="shared" si="145"/>
        <v>0</v>
      </c>
      <c r="GC73" s="14">
        <f t="shared" si="145"/>
        <v>0</v>
      </c>
      <c r="GD73" s="14">
        <f t="shared" si="145"/>
        <v>0</v>
      </c>
      <c r="GE73" s="14">
        <f t="shared" si="145"/>
        <v>0</v>
      </c>
      <c r="GF73" s="14">
        <f t="shared" si="145"/>
        <v>0</v>
      </c>
      <c r="GG73" s="14">
        <f t="shared" si="145"/>
        <v>0</v>
      </c>
      <c r="GH73" s="14">
        <f t="shared" si="145"/>
        <v>0</v>
      </c>
      <c r="GI73" s="14">
        <f t="shared" si="145"/>
        <v>0</v>
      </c>
      <c r="GJ73" s="14">
        <f t="shared" si="145"/>
        <v>0</v>
      </c>
      <c r="GK73" s="14">
        <f t="shared" si="145"/>
        <v>0</v>
      </c>
      <c r="GL73" s="14">
        <f t="shared" si="145"/>
        <v>0</v>
      </c>
      <c r="GM73" s="14">
        <f t="shared" si="145"/>
        <v>0</v>
      </c>
      <c r="GN73" s="14">
        <f t="shared" si="145"/>
        <v>0</v>
      </c>
      <c r="GO73" s="14">
        <f t="shared" si="145"/>
        <v>0</v>
      </c>
    </row>
    <row r="74" spans="1:197" ht="15">
      <c r="A74" s="4"/>
      <c r="B74" s="4"/>
      <c r="C74" s="12" t="s">
        <v>218</v>
      </c>
      <c r="D74" s="16">
        <f>D73-D72</f>
        <v>23.699999999999996</v>
      </c>
      <c r="E74" s="16">
        <f>E73-E72</f>
        <v>23.699999999999996</v>
      </c>
      <c r="F74" s="16">
        <f aca="true" t="shared" si="146" ref="F74:BQ74">F73-F72</f>
        <v>23.699999999999996</v>
      </c>
      <c r="G74" s="16">
        <f t="shared" si="146"/>
        <v>23.699999999999996</v>
      </c>
      <c r="H74" s="16">
        <f t="shared" si="146"/>
        <v>23.699999999999996</v>
      </c>
      <c r="I74" s="16">
        <f t="shared" si="146"/>
        <v>23.699999999999996</v>
      </c>
      <c r="J74" s="16">
        <f t="shared" si="146"/>
        <v>23.699999999999996</v>
      </c>
      <c r="K74" s="16">
        <f t="shared" si="146"/>
        <v>23.699999999999996</v>
      </c>
      <c r="L74" s="16">
        <f t="shared" si="146"/>
        <v>23.699999999999996</v>
      </c>
      <c r="M74" s="16">
        <f t="shared" si="146"/>
        <v>23.699999999999996</v>
      </c>
      <c r="N74" s="16">
        <f t="shared" si="146"/>
        <v>23.699999999999996</v>
      </c>
      <c r="O74" s="17">
        <f t="shared" si="146"/>
        <v>86.4</v>
      </c>
      <c r="P74" s="16">
        <f t="shared" si="146"/>
        <v>86.4</v>
      </c>
      <c r="Q74" s="16">
        <f t="shared" si="146"/>
        <v>86.4</v>
      </c>
      <c r="R74" s="16">
        <f t="shared" si="146"/>
        <v>86.4</v>
      </c>
      <c r="S74" s="16">
        <f t="shared" si="146"/>
        <v>86.4</v>
      </c>
      <c r="T74" s="16">
        <f t="shared" si="146"/>
        <v>86.4</v>
      </c>
      <c r="U74" s="16">
        <f t="shared" si="146"/>
        <v>86.4</v>
      </c>
      <c r="V74" s="16">
        <f t="shared" si="146"/>
        <v>86.4</v>
      </c>
      <c r="W74" s="16">
        <f t="shared" si="146"/>
        <v>86.4</v>
      </c>
      <c r="X74" s="17">
        <f t="shared" si="146"/>
        <v>62.7</v>
      </c>
      <c r="Y74" s="16">
        <f t="shared" si="146"/>
        <v>62.7</v>
      </c>
      <c r="Z74" s="16">
        <f t="shared" si="146"/>
        <v>62.7</v>
      </c>
      <c r="AA74" s="16">
        <f t="shared" si="146"/>
        <v>62.7</v>
      </c>
      <c r="AB74" s="16">
        <f t="shared" si="146"/>
        <v>47.7</v>
      </c>
      <c r="AC74" s="16">
        <f t="shared" si="146"/>
        <v>47.7</v>
      </c>
      <c r="AD74" s="16">
        <f t="shared" si="146"/>
        <v>47.7</v>
      </c>
      <c r="AE74" s="16">
        <f t="shared" si="146"/>
        <v>47.7</v>
      </c>
      <c r="AF74" s="16">
        <f t="shared" si="146"/>
        <v>47.7</v>
      </c>
      <c r="AG74" s="16">
        <f t="shared" si="146"/>
        <v>47.7</v>
      </c>
      <c r="AH74" s="16">
        <f t="shared" si="146"/>
        <v>47.7</v>
      </c>
      <c r="AI74" s="16">
        <f t="shared" si="146"/>
        <v>47.7</v>
      </c>
      <c r="AJ74" s="16">
        <f t="shared" si="146"/>
        <v>47.7</v>
      </c>
      <c r="AK74" s="16">
        <f t="shared" si="146"/>
        <v>47.7</v>
      </c>
      <c r="AL74" s="16">
        <f t="shared" si="146"/>
        <v>47.7</v>
      </c>
      <c r="AM74" s="16">
        <f t="shared" si="146"/>
        <v>47.7</v>
      </c>
      <c r="AN74" s="16">
        <f t="shared" si="146"/>
        <v>73</v>
      </c>
      <c r="AO74" s="16">
        <f t="shared" si="146"/>
        <v>73</v>
      </c>
      <c r="AP74" s="16">
        <f t="shared" si="146"/>
        <v>73</v>
      </c>
      <c r="AQ74" s="16">
        <f t="shared" si="146"/>
        <v>25.299999999999997</v>
      </c>
      <c r="AR74" s="16">
        <f t="shared" si="146"/>
        <v>25.299999999999997</v>
      </c>
      <c r="AS74" s="16">
        <f t="shared" si="146"/>
        <v>25.299999999999997</v>
      </c>
      <c r="AT74" s="16">
        <f t="shared" si="146"/>
        <v>25.299999999999997</v>
      </c>
      <c r="AU74" s="16">
        <f t="shared" si="146"/>
        <v>25.299999999999997</v>
      </c>
      <c r="AV74" s="16">
        <f t="shared" si="146"/>
        <v>28.499999999999996</v>
      </c>
      <c r="AW74" s="16">
        <f t="shared" si="146"/>
        <v>28.499999999999996</v>
      </c>
      <c r="AX74" s="16">
        <f t="shared" si="146"/>
        <v>28.499999999999996</v>
      </c>
      <c r="AY74" s="16">
        <f t="shared" si="146"/>
        <v>28.499999999999996</v>
      </c>
      <c r="AZ74" s="16">
        <f t="shared" si="146"/>
        <v>18.499999999999996</v>
      </c>
      <c r="BA74" s="16">
        <f t="shared" si="146"/>
        <v>18.499999999999996</v>
      </c>
      <c r="BB74" s="16">
        <f t="shared" si="146"/>
        <v>9.999999999999996</v>
      </c>
      <c r="BC74" s="16">
        <f t="shared" si="146"/>
        <v>9.999999999999996</v>
      </c>
      <c r="BD74" s="16">
        <f t="shared" si="146"/>
        <v>9.999999999999996</v>
      </c>
      <c r="BE74" s="16">
        <f t="shared" si="146"/>
        <v>9.999999999999996</v>
      </c>
      <c r="BF74" s="16">
        <f t="shared" si="146"/>
        <v>0</v>
      </c>
      <c r="BG74" s="16">
        <f t="shared" si="146"/>
        <v>0</v>
      </c>
      <c r="BH74" s="16">
        <f t="shared" si="146"/>
        <v>0</v>
      </c>
      <c r="BI74" s="16">
        <f t="shared" si="146"/>
        <v>0</v>
      </c>
      <c r="BJ74" s="16">
        <f t="shared" si="146"/>
        <v>0</v>
      </c>
      <c r="BK74" s="16">
        <f t="shared" si="146"/>
        <v>0</v>
      </c>
      <c r="BL74" s="16">
        <f t="shared" si="146"/>
        <v>0</v>
      </c>
      <c r="BM74" s="16">
        <f t="shared" si="146"/>
        <v>0</v>
      </c>
      <c r="BN74" s="16">
        <f t="shared" si="146"/>
        <v>0</v>
      </c>
      <c r="BO74" s="16">
        <f t="shared" si="146"/>
        <v>0</v>
      </c>
      <c r="BP74" s="16">
        <f t="shared" si="146"/>
        <v>0</v>
      </c>
      <c r="BQ74" s="16">
        <f t="shared" si="146"/>
        <v>0</v>
      </c>
      <c r="BR74" s="16">
        <f aca="true" t="shared" si="147" ref="BR74:EC74">BR73-BR72</f>
        <v>45.8</v>
      </c>
      <c r="BS74" s="16">
        <f t="shared" si="147"/>
        <v>45.8</v>
      </c>
      <c r="BT74" s="27">
        <f t="shared" si="147"/>
        <v>45.8</v>
      </c>
      <c r="BU74" s="27">
        <f t="shared" si="147"/>
        <v>45.8</v>
      </c>
      <c r="BV74" s="27">
        <f t="shared" si="147"/>
        <v>45.8</v>
      </c>
      <c r="BW74" s="16">
        <f t="shared" si="147"/>
        <v>45.8</v>
      </c>
      <c r="BX74" s="16">
        <f t="shared" si="147"/>
        <v>30.799999999999997</v>
      </c>
      <c r="BY74" s="16">
        <f t="shared" si="147"/>
        <v>30.799999999999997</v>
      </c>
      <c r="BZ74" s="16">
        <f t="shared" si="147"/>
        <v>15.799999999999997</v>
      </c>
      <c r="CA74" s="16">
        <f t="shared" si="147"/>
        <v>15.799999999999997</v>
      </c>
      <c r="CB74" s="16">
        <f t="shared" si="147"/>
        <v>15.799999999999997</v>
      </c>
      <c r="CC74" s="16">
        <f t="shared" si="147"/>
        <v>15.799999999999997</v>
      </c>
      <c r="CD74" s="16">
        <f t="shared" si="147"/>
        <v>23.899999999999995</v>
      </c>
      <c r="CE74" s="16">
        <f t="shared" si="147"/>
        <v>23.899999999999995</v>
      </c>
      <c r="CF74" s="16">
        <f t="shared" si="147"/>
        <v>23.899999999999995</v>
      </c>
      <c r="CG74" s="16">
        <f t="shared" si="147"/>
        <v>23.899999999999995</v>
      </c>
      <c r="CH74" s="16">
        <f t="shared" si="147"/>
        <v>23.899999999999995</v>
      </c>
      <c r="CI74" s="16">
        <f t="shared" si="147"/>
        <v>31.899999999999995</v>
      </c>
      <c r="CJ74" s="16">
        <f t="shared" si="147"/>
        <v>31.899999999999995</v>
      </c>
      <c r="CK74" s="16">
        <f t="shared" si="147"/>
        <v>31.899999999999995</v>
      </c>
      <c r="CL74" s="16">
        <f t="shared" si="147"/>
        <v>31.899999999999995</v>
      </c>
      <c r="CM74" s="16">
        <f t="shared" si="147"/>
        <v>31.899999999999995</v>
      </c>
      <c r="CN74" s="16">
        <f t="shared" si="147"/>
        <v>31.899999999999995</v>
      </c>
      <c r="CO74" s="16">
        <f t="shared" si="147"/>
        <v>31.899999999999995</v>
      </c>
      <c r="CP74" s="16">
        <f t="shared" si="147"/>
        <v>0</v>
      </c>
      <c r="CQ74" s="16">
        <f t="shared" si="147"/>
        <v>0</v>
      </c>
      <c r="CR74" s="16">
        <f t="shared" si="147"/>
        <v>45.8</v>
      </c>
      <c r="CS74" s="16">
        <f t="shared" si="147"/>
        <v>45.8</v>
      </c>
      <c r="CT74" s="16">
        <f t="shared" si="147"/>
        <v>45.8</v>
      </c>
      <c r="CU74" s="16">
        <f t="shared" si="147"/>
        <v>45.8</v>
      </c>
      <c r="CV74" s="16">
        <f t="shared" si="147"/>
        <v>45.8</v>
      </c>
      <c r="CW74" s="16">
        <f t="shared" si="147"/>
        <v>45.8</v>
      </c>
      <c r="CX74" s="16">
        <f t="shared" si="147"/>
        <v>45.8</v>
      </c>
      <c r="CY74" s="16">
        <f t="shared" si="147"/>
        <v>45.8</v>
      </c>
      <c r="CZ74" s="16">
        <f t="shared" si="147"/>
        <v>25.799999999999997</v>
      </c>
      <c r="DA74" s="16">
        <f t="shared" si="147"/>
        <v>25.799999999999997</v>
      </c>
      <c r="DB74" s="16">
        <f t="shared" si="147"/>
        <v>25.799999999999997</v>
      </c>
      <c r="DC74" s="16">
        <f t="shared" si="147"/>
        <v>25.799999999999997</v>
      </c>
      <c r="DD74" s="16">
        <f t="shared" si="147"/>
        <v>25.799999999999997</v>
      </c>
      <c r="DE74" s="16">
        <f t="shared" si="147"/>
        <v>25.799999999999997</v>
      </c>
      <c r="DF74" s="16">
        <f t="shared" si="147"/>
        <v>0</v>
      </c>
      <c r="DG74" s="16">
        <f t="shared" si="147"/>
        <v>0</v>
      </c>
      <c r="DH74" s="16">
        <f t="shared" si="147"/>
        <v>0</v>
      </c>
      <c r="DI74" s="16">
        <f t="shared" si="147"/>
        <v>0</v>
      </c>
      <c r="DJ74" s="16">
        <f t="shared" si="147"/>
        <v>0</v>
      </c>
      <c r="DK74" s="16">
        <f t="shared" si="147"/>
        <v>0</v>
      </c>
      <c r="DL74" s="16">
        <f t="shared" si="147"/>
        <v>0</v>
      </c>
      <c r="DM74" s="16">
        <f t="shared" si="147"/>
        <v>0</v>
      </c>
      <c r="DN74" s="16">
        <f t="shared" si="147"/>
        <v>0</v>
      </c>
      <c r="DO74" s="16">
        <f t="shared" si="147"/>
        <v>0</v>
      </c>
      <c r="DP74" s="17">
        <f t="shared" si="147"/>
        <v>0</v>
      </c>
      <c r="DQ74" s="17">
        <f t="shared" si="147"/>
        <v>0</v>
      </c>
      <c r="DR74" s="17">
        <f t="shared" si="147"/>
        <v>0</v>
      </c>
      <c r="DS74" s="17">
        <f t="shared" si="147"/>
        <v>0</v>
      </c>
      <c r="DT74" s="17">
        <f t="shared" si="147"/>
        <v>0</v>
      </c>
      <c r="DU74" s="16">
        <f t="shared" si="147"/>
        <v>0</v>
      </c>
      <c r="DV74" s="16">
        <f t="shared" si="147"/>
        <v>0</v>
      </c>
      <c r="DW74" s="16">
        <f t="shared" si="147"/>
        <v>0</v>
      </c>
      <c r="DX74" s="16">
        <f t="shared" si="147"/>
        <v>0</v>
      </c>
      <c r="DY74" s="16">
        <f t="shared" si="147"/>
        <v>0</v>
      </c>
      <c r="DZ74" s="16">
        <f t="shared" si="147"/>
        <v>40.699999999999996</v>
      </c>
      <c r="EA74" s="16">
        <f t="shared" si="147"/>
        <v>40.699999999999996</v>
      </c>
      <c r="EB74" s="16">
        <f t="shared" si="147"/>
        <v>40.699999999999996</v>
      </c>
      <c r="EC74" s="16">
        <f t="shared" si="147"/>
        <v>40.699999999999996</v>
      </c>
      <c r="ED74" s="16">
        <f aca="true" t="shared" si="148" ref="ED74:GO74">ED73-ED72</f>
        <v>40.699999999999996</v>
      </c>
      <c r="EE74" s="16">
        <f t="shared" si="148"/>
        <v>40.699999999999996</v>
      </c>
      <c r="EF74" s="16">
        <f t="shared" si="148"/>
        <v>40.699999999999996</v>
      </c>
      <c r="EG74" s="16">
        <f t="shared" si="148"/>
        <v>40.699999999999996</v>
      </c>
      <c r="EH74" s="16">
        <f t="shared" si="148"/>
        <v>40.699999999999996</v>
      </c>
      <c r="EI74" s="16">
        <f t="shared" si="148"/>
        <v>40.699999999999996</v>
      </c>
      <c r="EJ74" s="16">
        <f t="shared" si="148"/>
        <v>78</v>
      </c>
      <c r="EK74" s="16">
        <f t="shared" si="148"/>
        <v>78</v>
      </c>
      <c r="EL74" s="16">
        <f t="shared" si="148"/>
        <v>78</v>
      </c>
      <c r="EM74" s="16">
        <f t="shared" si="148"/>
        <v>78</v>
      </c>
      <c r="EN74" s="16">
        <f t="shared" si="148"/>
        <v>78</v>
      </c>
      <c r="EO74" s="16">
        <f t="shared" si="148"/>
        <v>78</v>
      </c>
      <c r="EP74" s="16">
        <f t="shared" si="148"/>
        <v>0</v>
      </c>
      <c r="EQ74" s="16">
        <f t="shared" si="148"/>
        <v>0</v>
      </c>
      <c r="ER74" s="16">
        <f t="shared" si="148"/>
        <v>0</v>
      </c>
      <c r="ES74" s="16">
        <f t="shared" si="148"/>
        <v>0</v>
      </c>
      <c r="ET74" s="16">
        <f t="shared" si="148"/>
        <v>0</v>
      </c>
      <c r="EU74" s="16">
        <f t="shared" si="148"/>
        <v>0</v>
      </c>
      <c r="EV74" s="16">
        <f t="shared" si="148"/>
        <v>0</v>
      </c>
      <c r="EW74" s="16">
        <f t="shared" si="148"/>
        <v>0</v>
      </c>
      <c r="EX74" s="16">
        <f t="shared" si="148"/>
        <v>0</v>
      </c>
      <c r="EY74" s="16">
        <f t="shared" si="148"/>
        <v>0</v>
      </c>
      <c r="EZ74" s="16">
        <f t="shared" si="148"/>
        <v>0</v>
      </c>
      <c r="FA74" s="16">
        <f t="shared" si="148"/>
        <v>0</v>
      </c>
      <c r="FB74" s="16">
        <f t="shared" si="148"/>
        <v>0</v>
      </c>
      <c r="FC74" s="16">
        <f t="shared" si="148"/>
        <v>0</v>
      </c>
      <c r="FD74" s="16">
        <f t="shared" si="148"/>
        <v>30.3</v>
      </c>
      <c r="FE74" s="16">
        <f t="shared" si="148"/>
        <v>30.3</v>
      </c>
      <c r="FF74" s="16">
        <f t="shared" si="148"/>
        <v>30.3</v>
      </c>
      <c r="FG74" s="16">
        <f t="shared" si="148"/>
        <v>30.3</v>
      </c>
      <c r="FH74" s="16">
        <f t="shared" si="148"/>
        <v>30.3</v>
      </c>
      <c r="FI74" s="16">
        <f t="shared" si="148"/>
        <v>30.3</v>
      </c>
      <c r="FJ74" s="16">
        <f t="shared" si="148"/>
        <v>30.3</v>
      </c>
      <c r="FK74" s="16">
        <f t="shared" si="148"/>
        <v>30.3</v>
      </c>
      <c r="FL74" s="16">
        <f t="shared" si="148"/>
        <v>30.3</v>
      </c>
      <c r="FM74" s="16">
        <f t="shared" si="148"/>
        <v>30.3</v>
      </c>
      <c r="FN74" s="16">
        <f t="shared" si="148"/>
        <v>30.3</v>
      </c>
      <c r="FO74" s="16">
        <f t="shared" si="148"/>
        <v>30.3</v>
      </c>
      <c r="FP74" s="16">
        <f t="shared" si="148"/>
        <v>30.3</v>
      </c>
      <c r="FQ74" s="16">
        <f t="shared" si="148"/>
        <v>30.3</v>
      </c>
      <c r="FR74" s="16">
        <f t="shared" si="148"/>
        <v>0</v>
      </c>
      <c r="FS74" s="16">
        <f t="shared" si="148"/>
        <v>0</v>
      </c>
      <c r="FT74" s="16">
        <f t="shared" si="148"/>
        <v>0</v>
      </c>
      <c r="FU74" s="16">
        <f t="shared" si="148"/>
        <v>0</v>
      </c>
      <c r="FV74" s="16">
        <f t="shared" si="148"/>
        <v>0</v>
      </c>
      <c r="FW74" s="16">
        <f t="shared" si="148"/>
        <v>0</v>
      </c>
      <c r="FX74" s="16">
        <f t="shared" si="148"/>
        <v>0</v>
      </c>
      <c r="FY74" s="16">
        <f t="shared" si="148"/>
        <v>0</v>
      </c>
      <c r="FZ74" s="16">
        <f t="shared" si="148"/>
        <v>0</v>
      </c>
      <c r="GA74" s="16">
        <f t="shared" si="148"/>
        <v>0</v>
      </c>
      <c r="GB74" s="16">
        <f t="shared" si="148"/>
        <v>0</v>
      </c>
      <c r="GC74" s="16">
        <f t="shared" si="148"/>
        <v>0</v>
      </c>
      <c r="GD74" s="16">
        <f t="shared" si="148"/>
        <v>0</v>
      </c>
      <c r="GE74" s="16">
        <f t="shared" si="148"/>
        <v>0</v>
      </c>
      <c r="GF74" s="16">
        <f t="shared" si="148"/>
        <v>0</v>
      </c>
      <c r="GG74" s="16">
        <f t="shared" si="148"/>
        <v>0</v>
      </c>
      <c r="GH74" s="16">
        <f t="shared" si="148"/>
        <v>0</v>
      </c>
      <c r="GI74" s="16">
        <f t="shared" si="148"/>
        <v>0</v>
      </c>
      <c r="GJ74" s="16">
        <f t="shared" si="148"/>
        <v>0</v>
      </c>
      <c r="GK74" s="16">
        <f t="shared" si="148"/>
        <v>0</v>
      </c>
      <c r="GL74" s="16">
        <f t="shared" si="148"/>
        <v>0</v>
      </c>
      <c r="GM74" s="16">
        <f t="shared" si="148"/>
        <v>0</v>
      </c>
      <c r="GN74" s="16">
        <f t="shared" si="148"/>
        <v>0</v>
      </c>
      <c r="GO74" s="16">
        <f t="shared" si="148"/>
        <v>0</v>
      </c>
    </row>
    <row r="75" spans="1:256" s="9" customFormat="1" ht="15">
      <c r="A75" s="4" t="s">
        <v>245</v>
      </c>
      <c r="B75" s="4">
        <v>14</v>
      </c>
      <c r="C75" s="12" t="s">
        <v>216</v>
      </c>
      <c r="O75" s="29"/>
      <c r="X75" s="29"/>
      <c r="AW75" s="30">
        <v>87.9</v>
      </c>
      <c r="BQ75" s="19">
        <v>82.3</v>
      </c>
      <c r="BT75" s="31"/>
      <c r="BU75" s="31"/>
      <c r="BV75" s="31"/>
      <c r="CH75" s="30">
        <v>43.5</v>
      </c>
      <c r="CJ75" s="19">
        <v>74.5</v>
      </c>
      <c r="DB75" s="30">
        <v>20</v>
      </c>
      <c r="DD75" s="30">
        <v>29.9</v>
      </c>
      <c r="DP75" s="29"/>
      <c r="DQ75" s="19">
        <v>75</v>
      </c>
      <c r="DR75" s="30">
        <v>35</v>
      </c>
      <c r="DS75" s="29"/>
      <c r="DT75" s="30">
        <v>60</v>
      </c>
      <c r="DV75" s="30">
        <v>36.4</v>
      </c>
      <c r="EI75" s="19">
        <v>30</v>
      </c>
      <c r="EP75" s="19">
        <v>51.5</v>
      </c>
      <c r="EX75" s="30">
        <v>50</v>
      </c>
      <c r="EZ75" s="19">
        <v>50</v>
      </c>
      <c r="FA75" s="30">
        <v>60</v>
      </c>
      <c r="FB75" s="30">
        <v>60</v>
      </c>
      <c r="FC75" s="30">
        <v>60</v>
      </c>
      <c r="FD75" s="30">
        <v>30.6</v>
      </c>
      <c r="FG75" s="98">
        <v>6.8</v>
      </c>
      <c r="FR75" s="9">
        <v>204.8</v>
      </c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197" s="42" customFormat="1" ht="15">
      <c r="A76" s="35"/>
      <c r="B76" s="35"/>
      <c r="C76" s="24" t="s">
        <v>217</v>
      </c>
      <c r="D76" s="25">
        <v>0</v>
      </c>
      <c r="E76" s="25">
        <f>D77</f>
        <v>0</v>
      </c>
      <c r="F76" s="25">
        <f aca="true" t="shared" si="149" ref="F76:BQ76">E77</f>
        <v>0</v>
      </c>
      <c r="G76" s="25">
        <f t="shared" si="149"/>
        <v>0</v>
      </c>
      <c r="H76" s="25">
        <f t="shared" si="149"/>
        <v>0</v>
      </c>
      <c r="I76" s="25">
        <f t="shared" si="149"/>
        <v>0</v>
      </c>
      <c r="J76" s="25">
        <f t="shared" si="149"/>
        <v>0</v>
      </c>
      <c r="K76" s="25">
        <f t="shared" si="149"/>
        <v>0</v>
      </c>
      <c r="L76" s="25">
        <f t="shared" si="149"/>
        <v>0</v>
      </c>
      <c r="M76" s="25">
        <f t="shared" si="149"/>
        <v>0</v>
      </c>
      <c r="N76" s="25">
        <f t="shared" si="149"/>
        <v>0</v>
      </c>
      <c r="O76" s="37">
        <f t="shared" si="149"/>
        <v>0</v>
      </c>
      <c r="P76" s="25">
        <f t="shared" si="149"/>
        <v>0</v>
      </c>
      <c r="Q76" s="25">
        <f t="shared" si="149"/>
        <v>0</v>
      </c>
      <c r="R76" s="25">
        <f t="shared" si="149"/>
        <v>0</v>
      </c>
      <c r="S76" s="25">
        <f t="shared" si="149"/>
        <v>0</v>
      </c>
      <c r="T76" s="25">
        <f t="shared" si="149"/>
        <v>0</v>
      </c>
      <c r="U76" s="25">
        <f t="shared" si="149"/>
        <v>0</v>
      </c>
      <c r="V76" s="25">
        <f t="shared" si="149"/>
        <v>0</v>
      </c>
      <c r="W76" s="25">
        <f t="shared" si="149"/>
        <v>0</v>
      </c>
      <c r="X76" s="37">
        <f t="shared" si="149"/>
        <v>0</v>
      </c>
      <c r="Y76" s="25">
        <f t="shared" si="149"/>
        <v>0</v>
      </c>
      <c r="Z76" s="25">
        <f t="shared" si="149"/>
        <v>0</v>
      </c>
      <c r="AA76" s="25">
        <f t="shared" si="149"/>
        <v>0</v>
      </c>
      <c r="AB76" s="25">
        <f t="shared" si="149"/>
        <v>0</v>
      </c>
      <c r="AC76" s="25">
        <f t="shared" si="149"/>
        <v>0</v>
      </c>
      <c r="AD76" s="25">
        <f t="shared" si="149"/>
        <v>0</v>
      </c>
      <c r="AE76" s="25">
        <f t="shared" si="149"/>
        <v>0</v>
      </c>
      <c r="AF76" s="25">
        <f t="shared" si="149"/>
        <v>0</v>
      </c>
      <c r="AG76" s="25">
        <f t="shared" si="149"/>
        <v>0</v>
      </c>
      <c r="AH76" s="25">
        <f t="shared" si="149"/>
        <v>0</v>
      </c>
      <c r="AI76" s="25">
        <f t="shared" si="149"/>
        <v>0</v>
      </c>
      <c r="AJ76" s="25">
        <f t="shared" si="149"/>
        <v>0</v>
      </c>
      <c r="AK76" s="25">
        <f t="shared" si="149"/>
        <v>0</v>
      </c>
      <c r="AL76" s="25">
        <f t="shared" si="149"/>
        <v>0</v>
      </c>
      <c r="AM76" s="25">
        <f t="shared" si="149"/>
        <v>0</v>
      </c>
      <c r="AN76" s="25">
        <f t="shared" si="149"/>
        <v>0</v>
      </c>
      <c r="AO76" s="25">
        <f t="shared" si="149"/>
        <v>0</v>
      </c>
      <c r="AP76" s="25">
        <f t="shared" si="149"/>
        <v>0</v>
      </c>
      <c r="AQ76" s="25">
        <f t="shared" si="149"/>
        <v>0</v>
      </c>
      <c r="AR76" s="25">
        <f t="shared" si="149"/>
        <v>0</v>
      </c>
      <c r="AS76" s="25">
        <f t="shared" si="149"/>
        <v>0</v>
      </c>
      <c r="AT76" s="25">
        <f t="shared" si="149"/>
        <v>0</v>
      </c>
      <c r="AU76" s="25">
        <f t="shared" si="149"/>
        <v>0</v>
      </c>
      <c r="AV76" s="25">
        <f t="shared" si="149"/>
        <v>0</v>
      </c>
      <c r="AW76" s="25">
        <f>AV77+87.9</f>
        <v>87.9</v>
      </c>
      <c r="AX76" s="25">
        <f t="shared" si="149"/>
        <v>0</v>
      </c>
      <c r="AY76" s="25">
        <f t="shared" si="149"/>
        <v>0</v>
      </c>
      <c r="AZ76" s="25">
        <f t="shared" si="149"/>
        <v>0</v>
      </c>
      <c r="BA76" s="25">
        <f t="shared" si="149"/>
        <v>0</v>
      </c>
      <c r="BB76" s="25">
        <f t="shared" si="149"/>
        <v>0</v>
      </c>
      <c r="BC76" s="25">
        <f t="shared" si="149"/>
        <v>0</v>
      </c>
      <c r="BD76" s="25">
        <f t="shared" si="149"/>
        <v>0</v>
      </c>
      <c r="BE76" s="25">
        <f t="shared" si="149"/>
        <v>0</v>
      </c>
      <c r="BF76" s="25">
        <f t="shared" si="149"/>
        <v>0</v>
      </c>
      <c r="BG76" s="25">
        <f t="shared" si="149"/>
        <v>0</v>
      </c>
      <c r="BH76" s="25">
        <f t="shared" si="149"/>
        <v>0</v>
      </c>
      <c r="BI76" s="25">
        <f t="shared" si="149"/>
        <v>0</v>
      </c>
      <c r="BJ76" s="25">
        <f t="shared" si="149"/>
        <v>0</v>
      </c>
      <c r="BK76" s="25">
        <f t="shared" si="149"/>
        <v>0</v>
      </c>
      <c r="BL76" s="25">
        <f t="shared" si="149"/>
        <v>0</v>
      </c>
      <c r="BM76" s="25">
        <f t="shared" si="149"/>
        <v>0</v>
      </c>
      <c r="BN76" s="25">
        <f t="shared" si="149"/>
        <v>0</v>
      </c>
      <c r="BO76" s="25">
        <f>BN77+82.3</f>
        <v>82.3</v>
      </c>
      <c r="BP76" s="25">
        <f t="shared" si="149"/>
        <v>82.3</v>
      </c>
      <c r="BQ76" s="25">
        <f t="shared" si="149"/>
        <v>82.3</v>
      </c>
      <c r="BR76" s="25">
        <f aca="true" t="shared" si="150" ref="BR76:EC76">BQ77</f>
        <v>0</v>
      </c>
      <c r="BS76" s="25">
        <f t="shared" si="150"/>
        <v>0</v>
      </c>
      <c r="BT76" s="40">
        <f t="shared" si="150"/>
        <v>0</v>
      </c>
      <c r="BU76" s="40">
        <f t="shared" si="150"/>
        <v>0</v>
      </c>
      <c r="BV76" s="40">
        <f t="shared" si="150"/>
        <v>0</v>
      </c>
      <c r="BW76" s="25">
        <f t="shared" si="150"/>
        <v>0</v>
      </c>
      <c r="BX76" s="25">
        <f t="shared" si="150"/>
        <v>0</v>
      </c>
      <c r="BY76" s="25">
        <f t="shared" si="150"/>
        <v>0</v>
      </c>
      <c r="BZ76" s="25">
        <f t="shared" si="150"/>
        <v>0</v>
      </c>
      <c r="CA76" s="25">
        <f t="shared" si="150"/>
        <v>0</v>
      </c>
      <c r="CB76" s="25">
        <f t="shared" si="150"/>
        <v>0</v>
      </c>
      <c r="CC76" s="25">
        <f t="shared" si="150"/>
        <v>0</v>
      </c>
      <c r="CD76" s="25">
        <f t="shared" si="150"/>
        <v>0</v>
      </c>
      <c r="CE76" s="25">
        <f t="shared" si="150"/>
        <v>0</v>
      </c>
      <c r="CF76" s="25">
        <f t="shared" si="150"/>
        <v>0</v>
      </c>
      <c r="CG76" s="25">
        <f t="shared" si="150"/>
        <v>0</v>
      </c>
      <c r="CH76" s="25">
        <f>CG77+43.5+54.1+20.4</f>
        <v>118</v>
      </c>
      <c r="CI76" s="25">
        <f t="shared" si="150"/>
        <v>74.5</v>
      </c>
      <c r="CJ76" s="25">
        <f t="shared" si="150"/>
        <v>74.5</v>
      </c>
      <c r="CK76" s="25">
        <f t="shared" si="150"/>
        <v>0</v>
      </c>
      <c r="CL76" s="25">
        <f t="shared" si="150"/>
        <v>0</v>
      </c>
      <c r="CM76" s="25">
        <f t="shared" si="150"/>
        <v>0</v>
      </c>
      <c r="CN76" s="25">
        <f t="shared" si="150"/>
        <v>0</v>
      </c>
      <c r="CO76" s="25">
        <f t="shared" si="150"/>
        <v>0</v>
      </c>
      <c r="CP76" s="25">
        <f t="shared" si="150"/>
        <v>0</v>
      </c>
      <c r="CQ76" s="25">
        <f t="shared" si="150"/>
        <v>0</v>
      </c>
      <c r="CR76" s="25">
        <f t="shared" si="150"/>
        <v>0</v>
      </c>
      <c r="CS76" s="25">
        <f t="shared" si="150"/>
        <v>0</v>
      </c>
      <c r="CT76" s="25">
        <f t="shared" si="150"/>
        <v>0</v>
      </c>
      <c r="CU76" s="25">
        <f t="shared" si="150"/>
        <v>0</v>
      </c>
      <c r="CV76" s="25">
        <f t="shared" si="150"/>
        <v>0</v>
      </c>
      <c r="CW76" s="25">
        <f t="shared" si="150"/>
        <v>0</v>
      </c>
      <c r="CX76" s="25">
        <f t="shared" si="150"/>
        <v>0</v>
      </c>
      <c r="CY76" s="25">
        <f t="shared" si="150"/>
        <v>0</v>
      </c>
      <c r="CZ76" s="25">
        <f>CY77+49.9</f>
        <v>49.9</v>
      </c>
      <c r="DA76" s="25">
        <f t="shared" si="150"/>
        <v>49.9</v>
      </c>
      <c r="DB76" s="25">
        <f t="shared" si="150"/>
        <v>49.9</v>
      </c>
      <c r="DC76" s="25">
        <f t="shared" si="150"/>
        <v>29.9</v>
      </c>
      <c r="DD76" s="25">
        <f t="shared" si="150"/>
        <v>29.9</v>
      </c>
      <c r="DE76" s="25">
        <f t="shared" si="150"/>
        <v>0</v>
      </c>
      <c r="DF76" s="25">
        <f t="shared" si="150"/>
        <v>0</v>
      </c>
      <c r="DG76" s="25">
        <f t="shared" si="150"/>
        <v>0</v>
      </c>
      <c r="DH76" s="25">
        <f t="shared" si="150"/>
        <v>0</v>
      </c>
      <c r="DI76" s="25">
        <f t="shared" si="150"/>
        <v>0</v>
      </c>
      <c r="DJ76" s="25">
        <f t="shared" si="150"/>
        <v>0</v>
      </c>
      <c r="DK76" s="25">
        <f t="shared" si="150"/>
        <v>0</v>
      </c>
      <c r="DL76" s="25">
        <f t="shared" si="150"/>
        <v>0</v>
      </c>
      <c r="DM76" s="25">
        <f>DL77+206.4</f>
        <v>206.4</v>
      </c>
      <c r="DN76" s="25">
        <f t="shared" si="150"/>
        <v>206.4</v>
      </c>
      <c r="DO76" s="25">
        <f t="shared" si="150"/>
        <v>206.4</v>
      </c>
      <c r="DP76" s="37">
        <f t="shared" si="150"/>
        <v>206.4</v>
      </c>
      <c r="DQ76" s="37">
        <f t="shared" si="150"/>
        <v>206.4</v>
      </c>
      <c r="DR76" s="37">
        <f t="shared" si="150"/>
        <v>131.4</v>
      </c>
      <c r="DS76" s="37">
        <f t="shared" si="150"/>
        <v>96.4</v>
      </c>
      <c r="DT76" s="37">
        <f t="shared" si="150"/>
        <v>96.4</v>
      </c>
      <c r="DU76" s="25">
        <f t="shared" si="150"/>
        <v>36.400000000000006</v>
      </c>
      <c r="DV76" s="25">
        <f t="shared" si="150"/>
        <v>36.400000000000006</v>
      </c>
      <c r="DW76" s="25">
        <f t="shared" si="150"/>
        <v>0</v>
      </c>
      <c r="DX76" s="25">
        <f t="shared" si="150"/>
        <v>0</v>
      </c>
      <c r="DY76" s="25">
        <f t="shared" si="150"/>
        <v>0</v>
      </c>
      <c r="DZ76" s="25">
        <f t="shared" si="150"/>
        <v>0</v>
      </c>
      <c r="EA76" s="25">
        <f t="shared" si="150"/>
        <v>0</v>
      </c>
      <c r="EB76" s="25">
        <f t="shared" si="150"/>
        <v>0</v>
      </c>
      <c r="EC76" s="25">
        <f t="shared" si="150"/>
        <v>0</v>
      </c>
      <c r="ED76" s="25">
        <f aca="true" t="shared" si="151" ref="ED76:GO76">EC77</f>
        <v>0</v>
      </c>
      <c r="EE76" s="25">
        <v>121.3</v>
      </c>
      <c r="EF76" s="25">
        <f t="shared" si="151"/>
        <v>121.3</v>
      </c>
      <c r="EG76" s="25">
        <f t="shared" si="151"/>
        <v>121.3</v>
      </c>
      <c r="EH76" s="25">
        <f t="shared" si="151"/>
        <v>121.3</v>
      </c>
      <c r="EI76" s="25">
        <f t="shared" si="151"/>
        <v>121.3</v>
      </c>
      <c r="EJ76" s="25">
        <f t="shared" si="151"/>
        <v>91.3</v>
      </c>
      <c r="EK76" s="25">
        <f t="shared" si="151"/>
        <v>91.3</v>
      </c>
      <c r="EL76" s="25">
        <f t="shared" si="151"/>
        <v>91.3</v>
      </c>
      <c r="EM76" s="25">
        <f t="shared" si="151"/>
        <v>91.3</v>
      </c>
      <c r="EN76" s="25">
        <f t="shared" si="151"/>
        <v>91.3</v>
      </c>
      <c r="EO76" s="25">
        <f t="shared" si="151"/>
        <v>91.3</v>
      </c>
      <c r="EP76" s="25">
        <f>EO77-39.8</f>
        <v>51.5</v>
      </c>
      <c r="EQ76" s="25">
        <f t="shared" si="151"/>
        <v>0</v>
      </c>
      <c r="ER76" s="25">
        <f>EQ77</f>
        <v>0</v>
      </c>
      <c r="ES76" s="25">
        <f>ER77</f>
        <v>0</v>
      </c>
      <c r="ET76" s="25">
        <f>ES77</f>
        <v>0</v>
      </c>
      <c r="EU76" s="25">
        <f t="shared" si="151"/>
        <v>0</v>
      </c>
      <c r="EV76" s="25">
        <f>EU77+133.1+47.5+14.4</f>
        <v>195</v>
      </c>
      <c r="EW76" s="25">
        <f>EV77+27.9+10.9+83.6</f>
        <v>317.4</v>
      </c>
      <c r="EX76" s="25">
        <f t="shared" si="151"/>
        <v>317.4</v>
      </c>
      <c r="EY76" s="25">
        <f t="shared" si="151"/>
        <v>267.4</v>
      </c>
      <c r="EZ76" s="25">
        <f t="shared" si="151"/>
        <v>267.4</v>
      </c>
      <c r="FA76" s="25">
        <f t="shared" si="151"/>
        <v>217.39999999999998</v>
      </c>
      <c r="FB76" s="25">
        <f t="shared" si="151"/>
        <v>157.39999999999998</v>
      </c>
      <c r="FC76" s="25">
        <f t="shared" si="151"/>
        <v>97.39999999999998</v>
      </c>
      <c r="FD76" s="25">
        <f t="shared" si="151"/>
        <v>37.39999999999998</v>
      </c>
      <c r="FE76" s="25">
        <f t="shared" si="151"/>
        <v>6.799999999999976</v>
      </c>
      <c r="FF76" s="25">
        <f t="shared" si="151"/>
        <v>6.799999999999976</v>
      </c>
      <c r="FG76" s="25">
        <f t="shared" si="151"/>
        <v>6.799999999999976</v>
      </c>
      <c r="FH76" s="25">
        <f t="shared" si="151"/>
        <v>-2.398081733190338E-14</v>
      </c>
      <c r="FI76" s="25">
        <f t="shared" si="151"/>
        <v>-2.398081733190338E-14</v>
      </c>
      <c r="FJ76" s="25">
        <f t="shared" si="151"/>
        <v>-2.398081733190338E-14</v>
      </c>
      <c r="FK76" s="25">
        <f t="shared" si="151"/>
        <v>-2.398081733190338E-14</v>
      </c>
      <c r="FL76" s="25">
        <f t="shared" si="151"/>
        <v>-2.398081733190338E-14</v>
      </c>
      <c r="FM76" s="25">
        <f>FL77+163.1</f>
        <v>163.09999999999997</v>
      </c>
      <c r="FN76" s="25">
        <f>FM77+41.7</f>
        <v>204.79999999999995</v>
      </c>
      <c r="FO76" s="25">
        <f t="shared" si="151"/>
        <v>204.79999999999995</v>
      </c>
      <c r="FP76" s="25">
        <f t="shared" si="151"/>
        <v>204.79999999999995</v>
      </c>
      <c r="FQ76" s="25">
        <f t="shared" si="151"/>
        <v>204.79999999999995</v>
      </c>
      <c r="FR76" s="25">
        <f t="shared" si="151"/>
        <v>204.79999999999995</v>
      </c>
      <c r="FS76" s="25">
        <f>FR77</f>
        <v>0</v>
      </c>
      <c r="FT76" s="25">
        <f t="shared" si="151"/>
        <v>0</v>
      </c>
      <c r="FU76" s="25">
        <f t="shared" si="151"/>
        <v>0</v>
      </c>
      <c r="FV76" s="25">
        <f t="shared" si="151"/>
        <v>0</v>
      </c>
      <c r="FW76" s="25">
        <f t="shared" si="151"/>
        <v>0</v>
      </c>
      <c r="FX76" s="25">
        <f t="shared" si="151"/>
        <v>0</v>
      </c>
      <c r="FY76" s="25">
        <f t="shared" si="151"/>
        <v>0</v>
      </c>
      <c r="FZ76" s="25">
        <f t="shared" si="151"/>
        <v>0</v>
      </c>
      <c r="GA76" s="25">
        <f t="shared" si="151"/>
        <v>0</v>
      </c>
      <c r="GB76" s="25">
        <f t="shared" si="151"/>
        <v>0</v>
      </c>
      <c r="GC76" s="25">
        <f t="shared" si="151"/>
        <v>0</v>
      </c>
      <c r="GD76" s="25">
        <f t="shared" si="151"/>
        <v>0</v>
      </c>
      <c r="GE76" s="25">
        <f t="shared" si="151"/>
        <v>0</v>
      </c>
      <c r="GF76" s="25">
        <f t="shared" si="151"/>
        <v>0</v>
      </c>
      <c r="GG76" s="25">
        <f t="shared" si="151"/>
        <v>0</v>
      </c>
      <c r="GH76" s="25">
        <f t="shared" si="151"/>
        <v>0</v>
      </c>
      <c r="GI76" s="25">
        <f t="shared" si="151"/>
        <v>0</v>
      </c>
      <c r="GJ76" s="25">
        <f t="shared" si="151"/>
        <v>0</v>
      </c>
      <c r="GK76" s="25">
        <f t="shared" si="151"/>
        <v>0</v>
      </c>
      <c r="GL76" s="25">
        <f t="shared" si="151"/>
        <v>0</v>
      </c>
      <c r="GM76" s="25">
        <f t="shared" si="151"/>
        <v>0</v>
      </c>
      <c r="GN76" s="25">
        <f t="shared" si="151"/>
        <v>0</v>
      </c>
      <c r="GO76" s="25">
        <f t="shared" si="151"/>
        <v>0</v>
      </c>
    </row>
    <row r="77" spans="1:197" s="42" customFormat="1" ht="15">
      <c r="A77" s="35"/>
      <c r="B77" s="35"/>
      <c r="C77" s="24" t="s">
        <v>218</v>
      </c>
      <c r="D77" s="43">
        <f>D76-D75</f>
        <v>0</v>
      </c>
      <c r="E77" s="43">
        <f>E76-E75</f>
        <v>0</v>
      </c>
      <c r="F77" s="43">
        <f aca="true" t="shared" si="152" ref="F77:BQ77">F76-F75</f>
        <v>0</v>
      </c>
      <c r="G77" s="43">
        <f t="shared" si="152"/>
        <v>0</v>
      </c>
      <c r="H77" s="43">
        <f t="shared" si="152"/>
        <v>0</v>
      </c>
      <c r="I77" s="43">
        <f t="shared" si="152"/>
        <v>0</v>
      </c>
      <c r="J77" s="43">
        <f t="shared" si="152"/>
        <v>0</v>
      </c>
      <c r="K77" s="43">
        <f t="shared" si="152"/>
        <v>0</v>
      </c>
      <c r="L77" s="43">
        <f t="shared" si="152"/>
        <v>0</v>
      </c>
      <c r="M77" s="43">
        <f t="shared" si="152"/>
        <v>0</v>
      </c>
      <c r="N77" s="43">
        <f t="shared" si="152"/>
        <v>0</v>
      </c>
      <c r="O77" s="44">
        <f t="shared" si="152"/>
        <v>0</v>
      </c>
      <c r="P77" s="43">
        <f t="shared" si="152"/>
        <v>0</v>
      </c>
      <c r="Q77" s="43">
        <f t="shared" si="152"/>
        <v>0</v>
      </c>
      <c r="R77" s="43">
        <f t="shared" si="152"/>
        <v>0</v>
      </c>
      <c r="S77" s="43">
        <f t="shared" si="152"/>
        <v>0</v>
      </c>
      <c r="T77" s="43">
        <f t="shared" si="152"/>
        <v>0</v>
      </c>
      <c r="U77" s="43">
        <f t="shared" si="152"/>
        <v>0</v>
      </c>
      <c r="V77" s="43">
        <f t="shared" si="152"/>
        <v>0</v>
      </c>
      <c r="W77" s="43">
        <f t="shared" si="152"/>
        <v>0</v>
      </c>
      <c r="X77" s="44">
        <f t="shared" si="152"/>
        <v>0</v>
      </c>
      <c r="Y77" s="43">
        <f t="shared" si="152"/>
        <v>0</v>
      </c>
      <c r="Z77" s="43">
        <f t="shared" si="152"/>
        <v>0</v>
      </c>
      <c r="AA77" s="43">
        <f t="shared" si="152"/>
        <v>0</v>
      </c>
      <c r="AB77" s="43">
        <f t="shared" si="152"/>
        <v>0</v>
      </c>
      <c r="AC77" s="43">
        <f t="shared" si="152"/>
        <v>0</v>
      </c>
      <c r="AD77" s="43">
        <f t="shared" si="152"/>
        <v>0</v>
      </c>
      <c r="AE77" s="43">
        <f t="shared" si="152"/>
        <v>0</v>
      </c>
      <c r="AF77" s="43">
        <f t="shared" si="152"/>
        <v>0</v>
      </c>
      <c r="AG77" s="43">
        <f t="shared" si="152"/>
        <v>0</v>
      </c>
      <c r="AH77" s="43">
        <f t="shared" si="152"/>
        <v>0</v>
      </c>
      <c r="AI77" s="43">
        <f t="shared" si="152"/>
        <v>0</v>
      </c>
      <c r="AJ77" s="43">
        <f t="shared" si="152"/>
        <v>0</v>
      </c>
      <c r="AK77" s="43">
        <f t="shared" si="152"/>
        <v>0</v>
      </c>
      <c r="AL77" s="43">
        <f t="shared" si="152"/>
        <v>0</v>
      </c>
      <c r="AM77" s="43">
        <f t="shared" si="152"/>
        <v>0</v>
      </c>
      <c r="AN77" s="43">
        <f t="shared" si="152"/>
        <v>0</v>
      </c>
      <c r="AO77" s="43">
        <f t="shared" si="152"/>
        <v>0</v>
      </c>
      <c r="AP77" s="43">
        <f t="shared" si="152"/>
        <v>0</v>
      </c>
      <c r="AQ77" s="43">
        <f t="shared" si="152"/>
        <v>0</v>
      </c>
      <c r="AR77" s="43">
        <f t="shared" si="152"/>
        <v>0</v>
      </c>
      <c r="AS77" s="43">
        <f t="shared" si="152"/>
        <v>0</v>
      </c>
      <c r="AT77" s="43">
        <f t="shared" si="152"/>
        <v>0</v>
      </c>
      <c r="AU77" s="43">
        <f t="shared" si="152"/>
        <v>0</v>
      </c>
      <c r="AV77" s="43">
        <f t="shared" si="152"/>
        <v>0</v>
      </c>
      <c r="AW77" s="43">
        <f t="shared" si="152"/>
        <v>0</v>
      </c>
      <c r="AX77" s="43">
        <f t="shared" si="152"/>
        <v>0</v>
      </c>
      <c r="AY77" s="43">
        <f t="shared" si="152"/>
        <v>0</v>
      </c>
      <c r="AZ77" s="43">
        <f t="shared" si="152"/>
        <v>0</v>
      </c>
      <c r="BA77" s="43">
        <f t="shared" si="152"/>
        <v>0</v>
      </c>
      <c r="BB77" s="43">
        <f t="shared" si="152"/>
        <v>0</v>
      </c>
      <c r="BC77" s="43">
        <f t="shared" si="152"/>
        <v>0</v>
      </c>
      <c r="BD77" s="43">
        <f t="shared" si="152"/>
        <v>0</v>
      </c>
      <c r="BE77" s="43">
        <f t="shared" si="152"/>
        <v>0</v>
      </c>
      <c r="BF77" s="43">
        <f t="shared" si="152"/>
        <v>0</v>
      </c>
      <c r="BG77" s="43">
        <f t="shared" si="152"/>
        <v>0</v>
      </c>
      <c r="BH77" s="43">
        <f t="shared" si="152"/>
        <v>0</v>
      </c>
      <c r="BI77" s="43">
        <f t="shared" si="152"/>
        <v>0</v>
      </c>
      <c r="BJ77" s="43">
        <f t="shared" si="152"/>
        <v>0</v>
      </c>
      <c r="BK77" s="43">
        <f t="shared" si="152"/>
        <v>0</v>
      </c>
      <c r="BL77" s="43">
        <f t="shared" si="152"/>
        <v>0</v>
      </c>
      <c r="BM77" s="43">
        <f t="shared" si="152"/>
        <v>0</v>
      </c>
      <c r="BN77" s="43">
        <f t="shared" si="152"/>
        <v>0</v>
      </c>
      <c r="BO77" s="43">
        <f t="shared" si="152"/>
        <v>82.3</v>
      </c>
      <c r="BP77" s="43">
        <f t="shared" si="152"/>
        <v>82.3</v>
      </c>
      <c r="BQ77" s="43">
        <f t="shared" si="152"/>
        <v>0</v>
      </c>
      <c r="BR77" s="43">
        <f aca="true" t="shared" si="153" ref="BR77:EC77">BR76-BR75</f>
        <v>0</v>
      </c>
      <c r="BS77" s="43">
        <f t="shared" si="153"/>
        <v>0</v>
      </c>
      <c r="BT77" s="45">
        <f t="shared" si="153"/>
        <v>0</v>
      </c>
      <c r="BU77" s="45">
        <f t="shared" si="153"/>
        <v>0</v>
      </c>
      <c r="BV77" s="45">
        <f t="shared" si="153"/>
        <v>0</v>
      </c>
      <c r="BW77" s="43">
        <f t="shared" si="153"/>
        <v>0</v>
      </c>
      <c r="BX77" s="43">
        <f t="shared" si="153"/>
        <v>0</v>
      </c>
      <c r="BY77" s="43">
        <f t="shared" si="153"/>
        <v>0</v>
      </c>
      <c r="BZ77" s="43">
        <f t="shared" si="153"/>
        <v>0</v>
      </c>
      <c r="CA77" s="43">
        <f t="shared" si="153"/>
        <v>0</v>
      </c>
      <c r="CB77" s="43">
        <f t="shared" si="153"/>
        <v>0</v>
      </c>
      <c r="CC77" s="43">
        <f t="shared" si="153"/>
        <v>0</v>
      </c>
      <c r="CD77" s="43">
        <f t="shared" si="153"/>
        <v>0</v>
      </c>
      <c r="CE77" s="43">
        <f t="shared" si="153"/>
        <v>0</v>
      </c>
      <c r="CF77" s="43">
        <f t="shared" si="153"/>
        <v>0</v>
      </c>
      <c r="CG77" s="43">
        <f t="shared" si="153"/>
        <v>0</v>
      </c>
      <c r="CH77" s="43">
        <f t="shared" si="153"/>
        <v>74.5</v>
      </c>
      <c r="CI77" s="43">
        <f t="shared" si="153"/>
        <v>74.5</v>
      </c>
      <c r="CJ77" s="43">
        <f t="shared" si="153"/>
        <v>0</v>
      </c>
      <c r="CK77" s="43">
        <f t="shared" si="153"/>
        <v>0</v>
      </c>
      <c r="CL77" s="43">
        <f t="shared" si="153"/>
        <v>0</v>
      </c>
      <c r="CM77" s="43">
        <f t="shared" si="153"/>
        <v>0</v>
      </c>
      <c r="CN77" s="43">
        <f t="shared" si="153"/>
        <v>0</v>
      </c>
      <c r="CO77" s="43">
        <f t="shared" si="153"/>
        <v>0</v>
      </c>
      <c r="CP77" s="43">
        <f t="shared" si="153"/>
        <v>0</v>
      </c>
      <c r="CQ77" s="43">
        <f t="shared" si="153"/>
        <v>0</v>
      </c>
      <c r="CR77" s="43">
        <f t="shared" si="153"/>
        <v>0</v>
      </c>
      <c r="CS77" s="43">
        <f t="shared" si="153"/>
        <v>0</v>
      </c>
      <c r="CT77" s="43">
        <f t="shared" si="153"/>
        <v>0</v>
      </c>
      <c r="CU77" s="43">
        <f t="shared" si="153"/>
        <v>0</v>
      </c>
      <c r="CV77" s="43">
        <f t="shared" si="153"/>
        <v>0</v>
      </c>
      <c r="CW77" s="43">
        <f t="shared" si="153"/>
        <v>0</v>
      </c>
      <c r="CX77" s="43">
        <f t="shared" si="153"/>
        <v>0</v>
      </c>
      <c r="CY77" s="43">
        <f t="shared" si="153"/>
        <v>0</v>
      </c>
      <c r="CZ77" s="43">
        <f t="shared" si="153"/>
        <v>49.9</v>
      </c>
      <c r="DA77" s="43">
        <f t="shared" si="153"/>
        <v>49.9</v>
      </c>
      <c r="DB77" s="43">
        <f t="shared" si="153"/>
        <v>29.9</v>
      </c>
      <c r="DC77" s="43">
        <f t="shared" si="153"/>
        <v>29.9</v>
      </c>
      <c r="DD77" s="43">
        <f t="shared" si="153"/>
        <v>0</v>
      </c>
      <c r="DE77" s="43">
        <f t="shared" si="153"/>
        <v>0</v>
      </c>
      <c r="DF77" s="43">
        <f t="shared" si="153"/>
        <v>0</v>
      </c>
      <c r="DG77" s="43">
        <f t="shared" si="153"/>
        <v>0</v>
      </c>
      <c r="DH77" s="43">
        <f t="shared" si="153"/>
        <v>0</v>
      </c>
      <c r="DI77" s="43">
        <f t="shared" si="153"/>
        <v>0</v>
      </c>
      <c r="DJ77" s="43">
        <f t="shared" si="153"/>
        <v>0</v>
      </c>
      <c r="DK77" s="43">
        <f t="shared" si="153"/>
        <v>0</v>
      </c>
      <c r="DL77" s="43">
        <f t="shared" si="153"/>
        <v>0</v>
      </c>
      <c r="DM77" s="43">
        <f t="shared" si="153"/>
        <v>206.4</v>
      </c>
      <c r="DN77" s="43">
        <f t="shared" si="153"/>
        <v>206.4</v>
      </c>
      <c r="DO77" s="43">
        <f t="shared" si="153"/>
        <v>206.4</v>
      </c>
      <c r="DP77" s="44">
        <f t="shared" si="153"/>
        <v>206.4</v>
      </c>
      <c r="DQ77" s="44">
        <f t="shared" si="153"/>
        <v>131.4</v>
      </c>
      <c r="DR77" s="44">
        <f t="shared" si="153"/>
        <v>96.4</v>
      </c>
      <c r="DS77" s="44">
        <f t="shared" si="153"/>
        <v>96.4</v>
      </c>
      <c r="DT77" s="44">
        <f t="shared" si="153"/>
        <v>36.400000000000006</v>
      </c>
      <c r="DU77" s="43">
        <f t="shared" si="153"/>
        <v>36.400000000000006</v>
      </c>
      <c r="DV77" s="43">
        <f t="shared" si="153"/>
        <v>0</v>
      </c>
      <c r="DW77" s="43">
        <f t="shared" si="153"/>
        <v>0</v>
      </c>
      <c r="DX77" s="43">
        <f t="shared" si="153"/>
        <v>0</v>
      </c>
      <c r="DY77" s="43">
        <f t="shared" si="153"/>
        <v>0</v>
      </c>
      <c r="DZ77" s="43">
        <f t="shared" si="153"/>
        <v>0</v>
      </c>
      <c r="EA77" s="43">
        <f t="shared" si="153"/>
        <v>0</v>
      </c>
      <c r="EB77" s="43">
        <f t="shared" si="153"/>
        <v>0</v>
      </c>
      <c r="EC77" s="43">
        <f t="shared" si="153"/>
        <v>0</v>
      </c>
      <c r="ED77" s="43">
        <f aca="true" t="shared" si="154" ref="ED77:GO77">ED76-ED75</f>
        <v>0</v>
      </c>
      <c r="EE77" s="43">
        <f t="shared" si="154"/>
        <v>121.3</v>
      </c>
      <c r="EF77" s="43">
        <f t="shared" si="154"/>
        <v>121.3</v>
      </c>
      <c r="EG77" s="43">
        <f t="shared" si="154"/>
        <v>121.3</v>
      </c>
      <c r="EH77" s="43">
        <f t="shared" si="154"/>
        <v>121.3</v>
      </c>
      <c r="EI77" s="43">
        <f t="shared" si="154"/>
        <v>91.3</v>
      </c>
      <c r="EJ77" s="43">
        <f t="shared" si="154"/>
        <v>91.3</v>
      </c>
      <c r="EK77" s="43">
        <f t="shared" si="154"/>
        <v>91.3</v>
      </c>
      <c r="EL77" s="43">
        <f t="shared" si="154"/>
        <v>91.3</v>
      </c>
      <c r="EM77" s="43">
        <f t="shared" si="154"/>
        <v>91.3</v>
      </c>
      <c r="EN77" s="43">
        <f t="shared" si="154"/>
        <v>91.3</v>
      </c>
      <c r="EO77" s="43">
        <f t="shared" si="154"/>
        <v>91.3</v>
      </c>
      <c r="EP77" s="43">
        <f t="shared" si="154"/>
        <v>0</v>
      </c>
      <c r="EQ77" s="43">
        <f t="shared" si="154"/>
        <v>0</v>
      </c>
      <c r="ER77" s="43">
        <f t="shared" si="154"/>
        <v>0</v>
      </c>
      <c r="ES77" s="43">
        <f t="shared" si="154"/>
        <v>0</v>
      </c>
      <c r="ET77" s="43">
        <f t="shared" si="154"/>
        <v>0</v>
      </c>
      <c r="EU77" s="43">
        <f t="shared" si="154"/>
        <v>0</v>
      </c>
      <c r="EV77" s="43">
        <f t="shared" si="154"/>
        <v>195</v>
      </c>
      <c r="EW77" s="43">
        <f t="shared" si="154"/>
        <v>317.4</v>
      </c>
      <c r="EX77" s="43">
        <f t="shared" si="154"/>
        <v>267.4</v>
      </c>
      <c r="EY77" s="43">
        <f t="shared" si="154"/>
        <v>267.4</v>
      </c>
      <c r="EZ77" s="43">
        <f t="shared" si="154"/>
        <v>217.39999999999998</v>
      </c>
      <c r="FA77" s="43">
        <f t="shared" si="154"/>
        <v>157.39999999999998</v>
      </c>
      <c r="FB77" s="43">
        <f t="shared" si="154"/>
        <v>97.39999999999998</v>
      </c>
      <c r="FC77" s="43">
        <f t="shared" si="154"/>
        <v>37.39999999999998</v>
      </c>
      <c r="FD77" s="43">
        <f t="shared" si="154"/>
        <v>6.799999999999976</v>
      </c>
      <c r="FE77" s="43">
        <f t="shared" si="154"/>
        <v>6.799999999999976</v>
      </c>
      <c r="FF77" s="43">
        <f t="shared" si="154"/>
        <v>6.799999999999976</v>
      </c>
      <c r="FG77" s="43">
        <f t="shared" si="154"/>
        <v>-2.398081733190338E-14</v>
      </c>
      <c r="FH77" s="43">
        <f t="shared" si="154"/>
        <v>-2.398081733190338E-14</v>
      </c>
      <c r="FI77" s="43">
        <f t="shared" si="154"/>
        <v>-2.398081733190338E-14</v>
      </c>
      <c r="FJ77" s="43">
        <f t="shared" si="154"/>
        <v>-2.398081733190338E-14</v>
      </c>
      <c r="FK77" s="43">
        <f t="shared" si="154"/>
        <v>-2.398081733190338E-14</v>
      </c>
      <c r="FL77" s="43">
        <f t="shared" si="154"/>
        <v>-2.398081733190338E-14</v>
      </c>
      <c r="FM77" s="43">
        <f t="shared" si="154"/>
        <v>163.09999999999997</v>
      </c>
      <c r="FN77" s="43">
        <f t="shared" si="154"/>
        <v>204.79999999999995</v>
      </c>
      <c r="FO77" s="43">
        <f t="shared" si="154"/>
        <v>204.79999999999995</v>
      </c>
      <c r="FP77" s="43">
        <f t="shared" si="154"/>
        <v>204.79999999999995</v>
      </c>
      <c r="FQ77" s="43">
        <f t="shared" si="154"/>
        <v>204.79999999999995</v>
      </c>
      <c r="FR77" s="43">
        <f t="shared" si="154"/>
        <v>0</v>
      </c>
      <c r="FS77" s="43">
        <f t="shared" si="154"/>
        <v>0</v>
      </c>
      <c r="FT77" s="43">
        <f t="shared" si="154"/>
        <v>0</v>
      </c>
      <c r="FU77" s="43">
        <f t="shared" si="154"/>
        <v>0</v>
      </c>
      <c r="FV77" s="43">
        <f t="shared" si="154"/>
        <v>0</v>
      </c>
      <c r="FW77" s="43">
        <f t="shared" si="154"/>
        <v>0</v>
      </c>
      <c r="FX77" s="43">
        <f t="shared" si="154"/>
        <v>0</v>
      </c>
      <c r="FY77" s="43">
        <f t="shared" si="154"/>
        <v>0</v>
      </c>
      <c r="FZ77" s="43">
        <f t="shared" si="154"/>
        <v>0</v>
      </c>
      <c r="GA77" s="43">
        <f t="shared" si="154"/>
        <v>0</v>
      </c>
      <c r="GB77" s="43">
        <f t="shared" si="154"/>
        <v>0</v>
      </c>
      <c r="GC77" s="43">
        <f t="shared" si="154"/>
        <v>0</v>
      </c>
      <c r="GD77" s="43">
        <f t="shared" si="154"/>
        <v>0</v>
      </c>
      <c r="GE77" s="43">
        <f t="shared" si="154"/>
        <v>0</v>
      </c>
      <c r="GF77" s="43">
        <f t="shared" si="154"/>
        <v>0</v>
      </c>
      <c r="GG77" s="43">
        <f t="shared" si="154"/>
        <v>0</v>
      </c>
      <c r="GH77" s="43">
        <f t="shared" si="154"/>
        <v>0</v>
      </c>
      <c r="GI77" s="43">
        <f t="shared" si="154"/>
        <v>0</v>
      </c>
      <c r="GJ77" s="43">
        <f t="shared" si="154"/>
        <v>0</v>
      </c>
      <c r="GK77" s="43">
        <f t="shared" si="154"/>
        <v>0</v>
      </c>
      <c r="GL77" s="43">
        <f t="shared" si="154"/>
        <v>0</v>
      </c>
      <c r="GM77" s="43">
        <f t="shared" si="154"/>
        <v>0</v>
      </c>
      <c r="GN77" s="43">
        <f t="shared" si="154"/>
        <v>0</v>
      </c>
      <c r="GO77" s="43">
        <f t="shared" si="154"/>
        <v>0</v>
      </c>
    </row>
    <row r="78" spans="1:256" s="9" customFormat="1" ht="15">
      <c r="A78" s="4" t="s">
        <v>246</v>
      </c>
      <c r="B78" s="4">
        <v>14</v>
      </c>
      <c r="C78" s="12" t="s">
        <v>216</v>
      </c>
      <c r="G78" s="19">
        <v>6.7</v>
      </c>
      <c r="O78" s="29"/>
      <c r="X78" s="29"/>
      <c r="AP78" s="19">
        <v>4</v>
      </c>
      <c r="BQ78" s="19">
        <v>5.1</v>
      </c>
      <c r="BT78" s="31"/>
      <c r="BU78" s="31"/>
      <c r="BV78" s="31"/>
      <c r="CG78" s="30">
        <v>5.4</v>
      </c>
      <c r="DP78" s="19">
        <v>8.2</v>
      </c>
      <c r="DQ78" s="29"/>
      <c r="DR78" s="29"/>
      <c r="DS78" s="29"/>
      <c r="DT78" s="29"/>
      <c r="DZ78" s="30">
        <v>5.3</v>
      </c>
      <c r="EQ78" s="19">
        <v>7.2</v>
      </c>
      <c r="FF78" s="30">
        <v>4.6</v>
      </c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197" ht="15">
      <c r="A79" s="4"/>
      <c r="B79" s="4"/>
      <c r="C79" s="12" t="s">
        <v>217</v>
      </c>
      <c r="D79" s="14">
        <v>6.699999999999999</v>
      </c>
      <c r="E79" s="14">
        <f>D80</f>
        <v>6.699999999999999</v>
      </c>
      <c r="F79" s="14">
        <f aca="true" t="shared" si="155" ref="F79:BQ79">E80</f>
        <v>6.699999999999999</v>
      </c>
      <c r="G79" s="14">
        <f t="shared" si="155"/>
        <v>6.699999999999999</v>
      </c>
      <c r="H79" s="14">
        <f t="shared" si="155"/>
        <v>0</v>
      </c>
      <c r="I79" s="14">
        <f t="shared" si="155"/>
        <v>0</v>
      </c>
      <c r="J79" s="14">
        <f t="shared" si="155"/>
        <v>0</v>
      </c>
      <c r="K79" s="14">
        <f t="shared" si="155"/>
        <v>0</v>
      </c>
      <c r="L79" s="14">
        <f t="shared" si="155"/>
        <v>0</v>
      </c>
      <c r="M79" s="14">
        <f t="shared" si="155"/>
        <v>0</v>
      </c>
      <c r="N79" s="14">
        <f t="shared" si="155"/>
        <v>0</v>
      </c>
      <c r="O79" s="15">
        <f t="shared" si="155"/>
        <v>0</v>
      </c>
      <c r="P79" s="14">
        <f t="shared" si="155"/>
        <v>0</v>
      </c>
      <c r="Q79" s="14">
        <f t="shared" si="155"/>
        <v>0</v>
      </c>
      <c r="R79" s="14">
        <f t="shared" si="155"/>
        <v>0</v>
      </c>
      <c r="S79" s="14">
        <f t="shared" si="155"/>
        <v>0</v>
      </c>
      <c r="T79" s="14">
        <f t="shared" si="155"/>
        <v>0</v>
      </c>
      <c r="U79" s="14">
        <f t="shared" si="155"/>
        <v>0</v>
      </c>
      <c r="V79" s="14">
        <f t="shared" si="155"/>
        <v>0</v>
      </c>
      <c r="W79" s="14">
        <f t="shared" si="155"/>
        <v>0</v>
      </c>
      <c r="X79" s="15">
        <f t="shared" si="155"/>
        <v>0</v>
      </c>
      <c r="Y79" s="14">
        <f t="shared" si="155"/>
        <v>0</v>
      </c>
      <c r="Z79" s="14">
        <f>Y80+4</f>
        <v>4</v>
      </c>
      <c r="AA79" s="14">
        <f t="shared" si="155"/>
        <v>4</v>
      </c>
      <c r="AB79" s="14">
        <f t="shared" si="155"/>
        <v>4</v>
      </c>
      <c r="AC79" s="14">
        <f t="shared" si="155"/>
        <v>4</v>
      </c>
      <c r="AD79" s="14">
        <f t="shared" si="155"/>
        <v>4</v>
      </c>
      <c r="AE79" s="14">
        <f t="shared" si="155"/>
        <v>4</v>
      </c>
      <c r="AF79" s="14">
        <f t="shared" si="155"/>
        <v>4</v>
      </c>
      <c r="AG79" s="14">
        <f t="shared" si="155"/>
        <v>4</v>
      </c>
      <c r="AH79" s="14">
        <f t="shared" si="155"/>
        <v>4</v>
      </c>
      <c r="AI79" s="14">
        <f t="shared" si="155"/>
        <v>4</v>
      </c>
      <c r="AJ79" s="14">
        <f t="shared" si="155"/>
        <v>4</v>
      </c>
      <c r="AK79" s="14">
        <f t="shared" si="155"/>
        <v>4</v>
      </c>
      <c r="AL79" s="14">
        <f t="shared" si="155"/>
        <v>4</v>
      </c>
      <c r="AM79" s="14">
        <f t="shared" si="155"/>
        <v>4</v>
      </c>
      <c r="AN79" s="14">
        <f t="shared" si="155"/>
        <v>4</v>
      </c>
      <c r="AO79" s="14">
        <f t="shared" si="155"/>
        <v>4</v>
      </c>
      <c r="AP79" s="14">
        <f t="shared" si="155"/>
        <v>4</v>
      </c>
      <c r="AQ79" s="14">
        <f t="shared" si="155"/>
        <v>0</v>
      </c>
      <c r="AR79" s="14">
        <f t="shared" si="155"/>
        <v>0</v>
      </c>
      <c r="AS79" s="14">
        <f t="shared" si="155"/>
        <v>0</v>
      </c>
      <c r="AT79" s="14">
        <f t="shared" si="155"/>
        <v>0</v>
      </c>
      <c r="AU79" s="14">
        <f t="shared" si="155"/>
        <v>0</v>
      </c>
      <c r="AV79" s="14">
        <f t="shared" si="155"/>
        <v>0</v>
      </c>
      <c r="AW79" s="14">
        <f t="shared" si="155"/>
        <v>0</v>
      </c>
      <c r="AX79" s="14">
        <f>AW80+5.1</f>
        <v>5.1</v>
      </c>
      <c r="AY79" s="14">
        <f t="shared" si="155"/>
        <v>5.1</v>
      </c>
      <c r="AZ79" s="14">
        <f t="shared" si="155"/>
        <v>5.1</v>
      </c>
      <c r="BA79" s="14">
        <f t="shared" si="155"/>
        <v>5.1</v>
      </c>
      <c r="BB79" s="14">
        <f t="shared" si="155"/>
        <v>5.1</v>
      </c>
      <c r="BC79" s="14">
        <f t="shared" si="155"/>
        <v>5.1</v>
      </c>
      <c r="BD79" s="14">
        <f t="shared" si="155"/>
        <v>5.1</v>
      </c>
      <c r="BE79" s="14">
        <f t="shared" si="155"/>
        <v>5.1</v>
      </c>
      <c r="BF79" s="14">
        <f t="shared" si="155"/>
        <v>5.1</v>
      </c>
      <c r="BG79" s="14">
        <f t="shared" si="155"/>
        <v>5.1</v>
      </c>
      <c r="BH79" s="14">
        <f t="shared" si="155"/>
        <v>5.1</v>
      </c>
      <c r="BI79" s="14">
        <f t="shared" si="155"/>
        <v>5.1</v>
      </c>
      <c r="BJ79" s="14">
        <f t="shared" si="155"/>
        <v>5.1</v>
      </c>
      <c r="BK79" s="14">
        <f t="shared" si="155"/>
        <v>5.1</v>
      </c>
      <c r="BL79" s="14">
        <f t="shared" si="155"/>
        <v>5.1</v>
      </c>
      <c r="BM79" s="14">
        <f t="shared" si="155"/>
        <v>5.1</v>
      </c>
      <c r="BN79" s="14">
        <f t="shared" si="155"/>
        <v>5.1</v>
      </c>
      <c r="BO79" s="14">
        <f t="shared" si="155"/>
        <v>5.1</v>
      </c>
      <c r="BP79" s="14">
        <f t="shared" si="155"/>
        <v>5.1</v>
      </c>
      <c r="BQ79" s="14">
        <f t="shared" si="155"/>
        <v>5.1</v>
      </c>
      <c r="BR79" s="14">
        <f aca="true" t="shared" si="156" ref="BR79:EC79">BQ80</f>
        <v>0</v>
      </c>
      <c r="BS79" s="14">
        <f t="shared" si="156"/>
        <v>0</v>
      </c>
      <c r="BT79" s="26">
        <f t="shared" si="156"/>
        <v>0</v>
      </c>
      <c r="BU79" s="26">
        <f t="shared" si="156"/>
        <v>0</v>
      </c>
      <c r="BV79" s="26">
        <f t="shared" si="156"/>
        <v>0</v>
      </c>
      <c r="BW79" s="14">
        <f>BV80+5.4</f>
        <v>5.4</v>
      </c>
      <c r="BX79" s="14">
        <f t="shared" si="156"/>
        <v>5.4</v>
      </c>
      <c r="BY79" s="14">
        <f t="shared" si="156"/>
        <v>5.4</v>
      </c>
      <c r="BZ79" s="14">
        <f t="shared" si="156"/>
        <v>5.4</v>
      </c>
      <c r="CA79" s="14">
        <f t="shared" si="156"/>
        <v>5.4</v>
      </c>
      <c r="CB79" s="14">
        <f t="shared" si="156"/>
        <v>5.4</v>
      </c>
      <c r="CC79" s="14">
        <f t="shared" si="156"/>
        <v>5.4</v>
      </c>
      <c r="CD79" s="14">
        <f t="shared" si="156"/>
        <v>5.4</v>
      </c>
      <c r="CE79" s="14">
        <f t="shared" si="156"/>
        <v>5.4</v>
      </c>
      <c r="CF79" s="14">
        <f t="shared" si="156"/>
        <v>5.4</v>
      </c>
      <c r="CG79" s="14">
        <f t="shared" si="156"/>
        <v>5.4</v>
      </c>
      <c r="CH79" s="14">
        <f t="shared" si="156"/>
        <v>0</v>
      </c>
      <c r="CI79" s="14">
        <f t="shared" si="156"/>
        <v>0</v>
      </c>
      <c r="CJ79" s="14">
        <f t="shared" si="156"/>
        <v>0</v>
      </c>
      <c r="CK79" s="14">
        <f t="shared" si="156"/>
        <v>0</v>
      </c>
      <c r="CL79" s="14">
        <f t="shared" si="156"/>
        <v>0</v>
      </c>
      <c r="CM79" s="14">
        <f t="shared" si="156"/>
        <v>0</v>
      </c>
      <c r="CN79" s="14">
        <f t="shared" si="156"/>
        <v>0</v>
      </c>
      <c r="CO79" s="14">
        <f t="shared" si="156"/>
        <v>0</v>
      </c>
      <c r="CP79" s="14">
        <f t="shared" si="156"/>
        <v>0</v>
      </c>
      <c r="CQ79" s="14">
        <f t="shared" si="156"/>
        <v>0</v>
      </c>
      <c r="CR79" s="14">
        <f t="shared" si="156"/>
        <v>0</v>
      </c>
      <c r="CS79" s="14">
        <f t="shared" si="156"/>
        <v>0</v>
      </c>
      <c r="CT79" s="14">
        <f t="shared" si="156"/>
        <v>0</v>
      </c>
      <c r="CU79" s="14">
        <f t="shared" si="156"/>
        <v>0</v>
      </c>
      <c r="CV79" s="14">
        <f t="shared" si="156"/>
        <v>0</v>
      </c>
      <c r="CW79" s="14">
        <f t="shared" si="156"/>
        <v>0</v>
      </c>
      <c r="CX79" s="14">
        <f t="shared" si="156"/>
        <v>0</v>
      </c>
      <c r="CY79" s="14">
        <f t="shared" si="156"/>
        <v>0</v>
      </c>
      <c r="CZ79" s="14">
        <f t="shared" si="156"/>
        <v>0</v>
      </c>
      <c r="DA79" s="14">
        <f t="shared" si="156"/>
        <v>0</v>
      </c>
      <c r="DB79" s="14">
        <f t="shared" si="156"/>
        <v>0</v>
      </c>
      <c r="DC79" s="14">
        <f t="shared" si="156"/>
        <v>0</v>
      </c>
      <c r="DD79" s="14">
        <f>DC80+8.2</f>
        <v>8.2</v>
      </c>
      <c r="DE79" s="14">
        <f t="shared" si="156"/>
        <v>8.2</v>
      </c>
      <c r="DF79" s="14">
        <f t="shared" si="156"/>
        <v>8.2</v>
      </c>
      <c r="DG79" s="14">
        <f t="shared" si="156"/>
        <v>8.2</v>
      </c>
      <c r="DH79" s="14">
        <f t="shared" si="156"/>
        <v>8.2</v>
      </c>
      <c r="DI79" s="14">
        <f t="shared" si="156"/>
        <v>8.2</v>
      </c>
      <c r="DJ79" s="14">
        <f t="shared" si="156"/>
        <v>8.2</v>
      </c>
      <c r="DK79" s="14">
        <f t="shared" si="156"/>
        <v>8.2</v>
      </c>
      <c r="DL79" s="14">
        <f t="shared" si="156"/>
        <v>8.2</v>
      </c>
      <c r="DM79" s="14">
        <f t="shared" si="156"/>
        <v>8.2</v>
      </c>
      <c r="DN79" s="14">
        <f t="shared" si="156"/>
        <v>8.2</v>
      </c>
      <c r="DO79" s="14">
        <f t="shared" si="156"/>
        <v>8.2</v>
      </c>
      <c r="DP79" s="15">
        <f t="shared" si="156"/>
        <v>8.2</v>
      </c>
      <c r="DQ79" s="15">
        <f t="shared" si="156"/>
        <v>0</v>
      </c>
      <c r="DR79" s="15">
        <f t="shared" si="156"/>
        <v>0</v>
      </c>
      <c r="DS79" s="15">
        <f t="shared" si="156"/>
        <v>0</v>
      </c>
      <c r="DT79" s="15">
        <f>DS80+5.3</f>
        <v>5.3</v>
      </c>
      <c r="DU79" s="14">
        <f t="shared" si="156"/>
        <v>5.3</v>
      </c>
      <c r="DV79" s="14">
        <f t="shared" si="156"/>
        <v>5.3</v>
      </c>
      <c r="DW79" s="14">
        <f t="shared" si="156"/>
        <v>5.3</v>
      </c>
      <c r="DX79" s="14">
        <f t="shared" si="156"/>
        <v>5.3</v>
      </c>
      <c r="DY79" s="14">
        <f t="shared" si="156"/>
        <v>5.3</v>
      </c>
      <c r="DZ79" s="14">
        <f t="shared" si="156"/>
        <v>5.3</v>
      </c>
      <c r="EA79" s="14">
        <f t="shared" si="156"/>
        <v>0</v>
      </c>
      <c r="EB79" s="14">
        <f t="shared" si="156"/>
        <v>0</v>
      </c>
      <c r="EC79" s="14">
        <f t="shared" si="156"/>
        <v>0</v>
      </c>
      <c r="ED79" s="14">
        <f aca="true" t="shared" si="157" ref="ED79:GO79">EC80</f>
        <v>0</v>
      </c>
      <c r="EE79" s="14">
        <f t="shared" si="157"/>
        <v>0</v>
      </c>
      <c r="EF79" s="14">
        <f t="shared" si="157"/>
        <v>0</v>
      </c>
      <c r="EG79" s="14">
        <f t="shared" si="157"/>
        <v>0</v>
      </c>
      <c r="EH79" s="14">
        <f t="shared" si="157"/>
        <v>0</v>
      </c>
      <c r="EI79" s="14">
        <f t="shared" si="157"/>
        <v>0</v>
      </c>
      <c r="EJ79" s="14">
        <f t="shared" si="157"/>
        <v>0</v>
      </c>
      <c r="EK79" s="14">
        <f t="shared" si="157"/>
        <v>0</v>
      </c>
      <c r="EL79" s="14">
        <f t="shared" si="157"/>
        <v>0</v>
      </c>
      <c r="EM79" s="14">
        <f t="shared" si="157"/>
        <v>0</v>
      </c>
      <c r="EN79" s="14">
        <f>EM80+7.2</f>
        <v>7.2</v>
      </c>
      <c r="EO79" s="14">
        <f t="shared" si="157"/>
        <v>7.2</v>
      </c>
      <c r="EP79" s="14">
        <f t="shared" si="157"/>
        <v>7.2</v>
      </c>
      <c r="EQ79" s="14">
        <f t="shared" si="157"/>
        <v>7.2</v>
      </c>
      <c r="ER79" s="14">
        <f>EQ80</f>
        <v>0</v>
      </c>
      <c r="ES79" s="14">
        <f>ER80</f>
        <v>0</v>
      </c>
      <c r="ET79" s="14">
        <f>ES80</f>
        <v>0</v>
      </c>
      <c r="EU79" s="14">
        <f t="shared" si="157"/>
        <v>0</v>
      </c>
      <c r="EV79" s="14">
        <f t="shared" si="157"/>
        <v>0</v>
      </c>
      <c r="EW79" s="14">
        <f t="shared" si="157"/>
        <v>0</v>
      </c>
      <c r="EX79" s="14">
        <f t="shared" si="157"/>
        <v>0</v>
      </c>
      <c r="EY79" s="14">
        <f t="shared" si="157"/>
        <v>0</v>
      </c>
      <c r="EZ79" s="14">
        <f t="shared" si="157"/>
        <v>0</v>
      </c>
      <c r="FA79" s="14">
        <f>EZ80+4.6</f>
        <v>4.6</v>
      </c>
      <c r="FB79" s="14">
        <f t="shared" si="157"/>
        <v>4.6</v>
      </c>
      <c r="FC79" s="14">
        <f t="shared" si="157"/>
        <v>4.6</v>
      </c>
      <c r="FD79" s="14">
        <f t="shared" si="157"/>
        <v>4.6</v>
      </c>
      <c r="FE79" s="14">
        <f t="shared" si="157"/>
        <v>4.6</v>
      </c>
      <c r="FF79" s="14">
        <f t="shared" si="157"/>
        <v>4.6</v>
      </c>
      <c r="FG79" s="14">
        <f t="shared" si="157"/>
        <v>0</v>
      </c>
      <c r="FH79" s="14">
        <f t="shared" si="157"/>
        <v>0</v>
      </c>
      <c r="FI79" s="14">
        <f t="shared" si="157"/>
        <v>0</v>
      </c>
      <c r="FJ79" s="14">
        <f t="shared" si="157"/>
        <v>0</v>
      </c>
      <c r="FK79" s="14">
        <f t="shared" si="157"/>
        <v>0</v>
      </c>
      <c r="FL79" s="14">
        <f t="shared" si="157"/>
        <v>0</v>
      </c>
      <c r="FM79" s="14">
        <f t="shared" si="157"/>
        <v>0</v>
      </c>
      <c r="FN79" s="14">
        <f t="shared" si="157"/>
        <v>0</v>
      </c>
      <c r="FO79" s="14">
        <f t="shared" si="157"/>
        <v>0</v>
      </c>
      <c r="FP79" s="14">
        <f t="shared" si="157"/>
        <v>0</v>
      </c>
      <c r="FQ79" s="14">
        <f t="shared" si="157"/>
        <v>0</v>
      </c>
      <c r="FR79" s="14">
        <f t="shared" si="157"/>
        <v>0</v>
      </c>
      <c r="FS79" s="14">
        <f t="shared" si="157"/>
        <v>0</v>
      </c>
      <c r="FT79" s="14">
        <f t="shared" si="157"/>
        <v>0</v>
      </c>
      <c r="FU79" s="14">
        <f t="shared" si="157"/>
        <v>0</v>
      </c>
      <c r="FV79" s="14">
        <f t="shared" si="157"/>
        <v>0</v>
      </c>
      <c r="FW79" s="14">
        <f t="shared" si="157"/>
        <v>0</v>
      </c>
      <c r="FX79" s="14">
        <f t="shared" si="157"/>
        <v>0</v>
      </c>
      <c r="FY79" s="14">
        <f t="shared" si="157"/>
        <v>0</v>
      </c>
      <c r="FZ79" s="14">
        <f t="shared" si="157"/>
        <v>0</v>
      </c>
      <c r="GA79" s="14">
        <f t="shared" si="157"/>
        <v>0</v>
      </c>
      <c r="GB79" s="14">
        <f t="shared" si="157"/>
        <v>0</v>
      </c>
      <c r="GC79" s="14">
        <f t="shared" si="157"/>
        <v>0</v>
      </c>
      <c r="GD79" s="14">
        <f t="shared" si="157"/>
        <v>0</v>
      </c>
      <c r="GE79" s="14">
        <f t="shared" si="157"/>
        <v>0</v>
      </c>
      <c r="GF79" s="14">
        <f t="shared" si="157"/>
        <v>0</v>
      </c>
      <c r="GG79" s="14">
        <f t="shared" si="157"/>
        <v>0</v>
      </c>
      <c r="GH79" s="14">
        <f t="shared" si="157"/>
        <v>0</v>
      </c>
      <c r="GI79" s="14">
        <f t="shared" si="157"/>
        <v>0</v>
      </c>
      <c r="GJ79" s="14">
        <f t="shared" si="157"/>
        <v>0</v>
      </c>
      <c r="GK79" s="14">
        <f t="shared" si="157"/>
        <v>0</v>
      </c>
      <c r="GL79" s="14">
        <f t="shared" si="157"/>
        <v>0</v>
      </c>
      <c r="GM79" s="14">
        <f t="shared" si="157"/>
        <v>0</v>
      </c>
      <c r="GN79" s="14">
        <f t="shared" si="157"/>
        <v>0</v>
      </c>
      <c r="GO79" s="14">
        <f t="shared" si="157"/>
        <v>0</v>
      </c>
    </row>
    <row r="80" spans="1:197" ht="15">
      <c r="A80" s="4"/>
      <c r="B80" s="4"/>
      <c r="C80" s="12" t="s">
        <v>218</v>
      </c>
      <c r="D80" s="16">
        <f>D79-D78</f>
        <v>6.699999999999999</v>
      </c>
      <c r="E80" s="16">
        <f>E79-E78</f>
        <v>6.699999999999999</v>
      </c>
      <c r="F80" s="16">
        <f aca="true" t="shared" si="158" ref="F80:BQ80">F79-F78</f>
        <v>6.699999999999999</v>
      </c>
      <c r="G80" s="16">
        <f t="shared" si="158"/>
        <v>0</v>
      </c>
      <c r="H80" s="16">
        <f t="shared" si="158"/>
        <v>0</v>
      </c>
      <c r="I80" s="16">
        <f t="shared" si="158"/>
        <v>0</v>
      </c>
      <c r="J80" s="16">
        <f t="shared" si="158"/>
        <v>0</v>
      </c>
      <c r="K80" s="16">
        <f t="shared" si="158"/>
        <v>0</v>
      </c>
      <c r="L80" s="16">
        <f t="shared" si="158"/>
        <v>0</v>
      </c>
      <c r="M80" s="16">
        <f t="shared" si="158"/>
        <v>0</v>
      </c>
      <c r="N80" s="16">
        <f t="shared" si="158"/>
        <v>0</v>
      </c>
      <c r="O80" s="17">
        <f t="shared" si="158"/>
        <v>0</v>
      </c>
      <c r="P80" s="16">
        <f t="shared" si="158"/>
        <v>0</v>
      </c>
      <c r="Q80" s="16">
        <f t="shared" si="158"/>
        <v>0</v>
      </c>
      <c r="R80" s="16">
        <f t="shared" si="158"/>
        <v>0</v>
      </c>
      <c r="S80" s="16">
        <f t="shared" si="158"/>
        <v>0</v>
      </c>
      <c r="T80" s="16">
        <f t="shared" si="158"/>
        <v>0</v>
      </c>
      <c r="U80" s="16">
        <f t="shared" si="158"/>
        <v>0</v>
      </c>
      <c r="V80" s="16">
        <f t="shared" si="158"/>
        <v>0</v>
      </c>
      <c r="W80" s="16">
        <f t="shared" si="158"/>
        <v>0</v>
      </c>
      <c r="X80" s="17">
        <f t="shared" si="158"/>
        <v>0</v>
      </c>
      <c r="Y80" s="16">
        <f t="shared" si="158"/>
        <v>0</v>
      </c>
      <c r="Z80" s="16">
        <f t="shared" si="158"/>
        <v>4</v>
      </c>
      <c r="AA80" s="16">
        <f t="shared" si="158"/>
        <v>4</v>
      </c>
      <c r="AB80" s="16">
        <f t="shared" si="158"/>
        <v>4</v>
      </c>
      <c r="AC80" s="16">
        <f t="shared" si="158"/>
        <v>4</v>
      </c>
      <c r="AD80" s="16">
        <f t="shared" si="158"/>
        <v>4</v>
      </c>
      <c r="AE80" s="16">
        <f t="shared" si="158"/>
        <v>4</v>
      </c>
      <c r="AF80" s="16">
        <f t="shared" si="158"/>
        <v>4</v>
      </c>
      <c r="AG80" s="16">
        <f t="shared" si="158"/>
        <v>4</v>
      </c>
      <c r="AH80" s="16">
        <f t="shared" si="158"/>
        <v>4</v>
      </c>
      <c r="AI80" s="16">
        <f t="shared" si="158"/>
        <v>4</v>
      </c>
      <c r="AJ80" s="16">
        <f t="shared" si="158"/>
        <v>4</v>
      </c>
      <c r="AK80" s="16">
        <f t="shared" si="158"/>
        <v>4</v>
      </c>
      <c r="AL80" s="16">
        <f t="shared" si="158"/>
        <v>4</v>
      </c>
      <c r="AM80" s="16">
        <f t="shared" si="158"/>
        <v>4</v>
      </c>
      <c r="AN80" s="16">
        <f t="shared" si="158"/>
        <v>4</v>
      </c>
      <c r="AO80" s="16">
        <f t="shared" si="158"/>
        <v>4</v>
      </c>
      <c r="AP80" s="16">
        <f t="shared" si="158"/>
        <v>0</v>
      </c>
      <c r="AQ80" s="16">
        <f t="shared" si="158"/>
        <v>0</v>
      </c>
      <c r="AR80" s="16">
        <f t="shared" si="158"/>
        <v>0</v>
      </c>
      <c r="AS80" s="16">
        <f t="shared" si="158"/>
        <v>0</v>
      </c>
      <c r="AT80" s="16">
        <f t="shared" si="158"/>
        <v>0</v>
      </c>
      <c r="AU80" s="16">
        <f t="shared" si="158"/>
        <v>0</v>
      </c>
      <c r="AV80" s="16">
        <f t="shared" si="158"/>
        <v>0</v>
      </c>
      <c r="AW80" s="16">
        <f t="shared" si="158"/>
        <v>0</v>
      </c>
      <c r="AX80" s="16">
        <f t="shared" si="158"/>
        <v>5.1</v>
      </c>
      <c r="AY80" s="16">
        <f t="shared" si="158"/>
        <v>5.1</v>
      </c>
      <c r="AZ80" s="16">
        <f t="shared" si="158"/>
        <v>5.1</v>
      </c>
      <c r="BA80" s="16">
        <f t="shared" si="158"/>
        <v>5.1</v>
      </c>
      <c r="BB80" s="16">
        <f t="shared" si="158"/>
        <v>5.1</v>
      </c>
      <c r="BC80" s="16">
        <f t="shared" si="158"/>
        <v>5.1</v>
      </c>
      <c r="BD80" s="16">
        <f t="shared" si="158"/>
        <v>5.1</v>
      </c>
      <c r="BE80" s="16">
        <f t="shared" si="158"/>
        <v>5.1</v>
      </c>
      <c r="BF80" s="16">
        <f t="shared" si="158"/>
        <v>5.1</v>
      </c>
      <c r="BG80" s="16">
        <f t="shared" si="158"/>
        <v>5.1</v>
      </c>
      <c r="BH80" s="16">
        <f t="shared" si="158"/>
        <v>5.1</v>
      </c>
      <c r="BI80" s="16">
        <f t="shared" si="158"/>
        <v>5.1</v>
      </c>
      <c r="BJ80" s="16">
        <f t="shared" si="158"/>
        <v>5.1</v>
      </c>
      <c r="BK80" s="16">
        <f t="shared" si="158"/>
        <v>5.1</v>
      </c>
      <c r="BL80" s="16">
        <f t="shared" si="158"/>
        <v>5.1</v>
      </c>
      <c r="BM80" s="16">
        <f t="shared" si="158"/>
        <v>5.1</v>
      </c>
      <c r="BN80" s="16">
        <f t="shared" si="158"/>
        <v>5.1</v>
      </c>
      <c r="BO80" s="16">
        <f t="shared" si="158"/>
        <v>5.1</v>
      </c>
      <c r="BP80" s="16">
        <f t="shared" si="158"/>
        <v>5.1</v>
      </c>
      <c r="BQ80" s="16">
        <f t="shared" si="158"/>
        <v>0</v>
      </c>
      <c r="BR80" s="16">
        <f aca="true" t="shared" si="159" ref="BR80:EC80">BR79-BR78</f>
        <v>0</v>
      </c>
      <c r="BS80" s="16">
        <f t="shared" si="159"/>
        <v>0</v>
      </c>
      <c r="BT80" s="27">
        <f t="shared" si="159"/>
        <v>0</v>
      </c>
      <c r="BU80" s="27">
        <f t="shared" si="159"/>
        <v>0</v>
      </c>
      <c r="BV80" s="27">
        <f t="shared" si="159"/>
        <v>0</v>
      </c>
      <c r="BW80" s="16">
        <f t="shared" si="159"/>
        <v>5.4</v>
      </c>
      <c r="BX80" s="16">
        <f t="shared" si="159"/>
        <v>5.4</v>
      </c>
      <c r="BY80" s="16">
        <f t="shared" si="159"/>
        <v>5.4</v>
      </c>
      <c r="BZ80" s="16">
        <f t="shared" si="159"/>
        <v>5.4</v>
      </c>
      <c r="CA80" s="16">
        <f t="shared" si="159"/>
        <v>5.4</v>
      </c>
      <c r="CB80" s="16">
        <f t="shared" si="159"/>
        <v>5.4</v>
      </c>
      <c r="CC80" s="16">
        <f t="shared" si="159"/>
        <v>5.4</v>
      </c>
      <c r="CD80" s="16">
        <f t="shared" si="159"/>
        <v>5.4</v>
      </c>
      <c r="CE80" s="16">
        <f t="shared" si="159"/>
        <v>5.4</v>
      </c>
      <c r="CF80" s="16">
        <f t="shared" si="159"/>
        <v>5.4</v>
      </c>
      <c r="CG80" s="16">
        <f t="shared" si="159"/>
        <v>0</v>
      </c>
      <c r="CH80" s="16">
        <f t="shared" si="159"/>
        <v>0</v>
      </c>
      <c r="CI80" s="16">
        <f t="shared" si="159"/>
        <v>0</v>
      </c>
      <c r="CJ80" s="16">
        <f t="shared" si="159"/>
        <v>0</v>
      </c>
      <c r="CK80" s="16">
        <f t="shared" si="159"/>
        <v>0</v>
      </c>
      <c r="CL80" s="16">
        <f t="shared" si="159"/>
        <v>0</v>
      </c>
      <c r="CM80" s="16">
        <f t="shared" si="159"/>
        <v>0</v>
      </c>
      <c r="CN80" s="16">
        <f t="shared" si="159"/>
        <v>0</v>
      </c>
      <c r="CO80" s="16">
        <f t="shared" si="159"/>
        <v>0</v>
      </c>
      <c r="CP80" s="16">
        <f t="shared" si="159"/>
        <v>0</v>
      </c>
      <c r="CQ80" s="16">
        <f t="shared" si="159"/>
        <v>0</v>
      </c>
      <c r="CR80" s="16">
        <f t="shared" si="159"/>
        <v>0</v>
      </c>
      <c r="CS80" s="16">
        <f t="shared" si="159"/>
        <v>0</v>
      </c>
      <c r="CT80" s="16">
        <f t="shared" si="159"/>
        <v>0</v>
      </c>
      <c r="CU80" s="16">
        <f t="shared" si="159"/>
        <v>0</v>
      </c>
      <c r="CV80" s="16">
        <f t="shared" si="159"/>
        <v>0</v>
      </c>
      <c r="CW80" s="16">
        <f t="shared" si="159"/>
        <v>0</v>
      </c>
      <c r="CX80" s="16">
        <f t="shared" si="159"/>
        <v>0</v>
      </c>
      <c r="CY80" s="16">
        <f t="shared" si="159"/>
        <v>0</v>
      </c>
      <c r="CZ80" s="16">
        <f t="shared" si="159"/>
        <v>0</v>
      </c>
      <c r="DA80" s="16">
        <f t="shared" si="159"/>
        <v>0</v>
      </c>
      <c r="DB80" s="16">
        <f t="shared" si="159"/>
        <v>0</v>
      </c>
      <c r="DC80" s="16">
        <f t="shared" si="159"/>
        <v>0</v>
      </c>
      <c r="DD80" s="16">
        <f t="shared" si="159"/>
        <v>8.2</v>
      </c>
      <c r="DE80" s="16">
        <f t="shared" si="159"/>
        <v>8.2</v>
      </c>
      <c r="DF80" s="16">
        <f t="shared" si="159"/>
        <v>8.2</v>
      </c>
      <c r="DG80" s="16">
        <f t="shared" si="159"/>
        <v>8.2</v>
      </c>
      <c r="DH80" s="16">
        <f t="shared" si="159"/>
        <v>8.2</v>
      </c>
      <c r="DI80" s="16">
        <f t="shared" si="159"/>
        <v>8.2</v>
      </c>
      <c r="DJ80" s="16">
        <f t="shared" si="159"/>
        <v>8.2</v>
      </c>
      <c r="DK80" s="16">
        <f t="shared" si="159"/>
        <v>8.2</v>
      </c>
      <c r="DL80" s="16">
        <f t="shared" si="159"/>
        <v>8.2</v>
      </c>
      <c r="DM80" s="16">
        <f t="shared" si="159"/>
        <v>8.2</v>
      </c>
      <c r="DN80" s="16">
        <f t="shared" si="159"/>
        <v>8.2</v>
      </c>
      <c r="DO80" s="16">
        <f t="shared" si="159"/>
        <v>8.2</v>
      </c>
      <c r="DP80" s="17">
        <f t="shared" si="159"/>
        <v>0</v>
      </c>
      <c r="DQ80" s="17">
        <f t="shared" si="159"/>
        <v>0</v>
      </c>
      <c r="DR80" s="17">
        <f t="shared" si="159"/>
        <v>0</v>
      </c>
      <c r="DS80" s="17">
        <f t="shared" si="159"/>
        <v>0</v>
      </c>
      <c r="DT80" s="17">
        <f t="shared" si="159"/>
        <v>5.3</v>
      </c>
      <c r="DU80" s="16">
        <f t="shared" si="159"/>
        <v>5.3</v>
      </c>
      <c r="DV80" s="16">
        <f t="shared" si="159"/>
        <v>5.3</v>
      </c>
      <c r="DW80" s="16">
        <f t="shared" si="159"/>
        <v>5.3</v>
      </c>
      <c r="DX80" s="16">
        <f t="shared" si="159"/>
        <v>5.3</v>
      </c>
      <c r="DY80" s="16">
        <f t="shared" si="159"/>
        <v>5.3</v>
      </c>
      <c r="DZ80" s="16">
        <f t="shared" si="159"/>
        <v>0</v>
      </c>
      <c r="EA80" s="16">
        <f t="shared" si="159"/>
        <v>0</v>
      </c>
      <c r="EB80" s="16">
        <f t="shared" si="159"/>
        <v>0</v>
      </c>
      <c r="EC80" s="16">
        <f t="shared" si="159"/>
        <v>0</v>
      </c>
      <c r="ED80" s="16">
        <f aca="true" t="shared" si="160" ref="ED80:GO80">ED79-ED78</f>
        <v>0</v>
      </c>
      <c r="EE80" s="16">
        <f t="shared" si="160"/>
        <v>0</v>
      </c>
      <c r="EF80" s="16">
        <f t="shared" si="160"/>
        <v>0</v>
      </c>
      <c r="EG80" s="16">
        <f t="shared" si="160"/>
        <v>0</v>
      </c>
      <c r="EH80" s="16">
        <f t="shared" si="160"/>
        <v>0</v>
      </c>
      <c r="EI80" s="16">
        <f t="shared" si="160"/>
        <v>0</v>
      </c>
      <c r="EJ80" s="16">
        <f t="shared" si="160"/>
        <v>0</v>
      </c>
      <c r="EK80" s="16">
        <f t="shared" si="160"/>
        <v>0</v>
      </c>
      <c r="EL80" s="16">
        <f t="shared" si="160"/>
        <v>0</v>
      </c>
      <c r="EM80" s="16">
        <f t="shared" si="160"/>
        <v>0</v>
      </c>
      <c r="EN80" s="16">
        <f t="shared" si="160"/>
        <v>7.2</v>
      </c>
      <c r="EO80" s="16">
        <f t="shared" si="160"/>
        <v>7.2</v>
      </c>
      <c r="EP80" s="16">
        <f t="shared" si="160"/>
        <v>7.2</v>
      </c>
      <c r="EQ80" s="16">
        <f t="shared" si="160"/>
        <v>0</v>
      </c>
      <c r="ER80" s="16">
        <f t="shared" si="160"/>
        <v>0</v>
      </c>
      <c r="ES80" s="16">
        <f t="shared" si="160"/>
        <v>0</v>
      </c>
      <c r="ET80" s="16">
        <f t="shared" si="160"/>
        <v>0</v>
      </c>
      <c r="EU80" s="16">
        <f t="shared" si="160"/>
        <v>0</v>
      </c>
      <c r="EV80" s="16">
        <f t="shared" si="160"/>
        <v>0</v>
      </c>
      <c r="EW80" s="16">
        <f t="shared" si="160"/>
        <v>0</v>
      </c>
      <c r="EX80" s="16">
        <f t="shared" si="160"/>
        <v>0</v>
      </c>
      <c r="EY80" s="16">
        <f t="shared" si="160"/>
        <v>0</v>
      </c>
      <c r="EZ80" s="16">
        <f t="shared" si="160"/>
        <v>0</v>
      </c>
      <c r="FA80" s="16">
        <f t="shared" si="160"/>
        <v>4.6</v>
      </c>
      <c r="FB80" s="16">
        <f t="shared" si="160"/>
        <v>4.6</v>
      </c>
      <c r="FC80" s="16">
        <f t="shared" si="160"/>
        <v>4.6</v>
      </c>
      <c r="FD80" s="16">
        <f t="shared" si="160"/>
        <v>4.6</v>
      </c>
      <c r="FE80" s="16">
        <f t="shared" si="160"/>
        <v>4.6</v>
      </c>
      <c r="FF80" s="16">
        <f t="shared" si="160"/>
        <v>0</v>
      </c>
      <c r="FG80" s="16">
        <f t="shared" si="160"/>
        <v>0</v>
      </c>
      <c r="FH80" s="16">
        <f t="shared" si="160"/>
        <v>0</v>
      </c>
      <c r="FI80" s="16">
        <f t="shared" si="160"/>
        <v>0</v>
      </c>
      <c r="FJ80" s="16">
        <f t="shared" si="160"/>
        <v>0</v>
      </c>
      <c r="FK80" s="16">
        <f t="shared" si="160"/>
        <v>0</v>
      </c>
      <c r="FL80" s="16">
        <f t="shared" si="160"/>
        <v>0</v>
      </c>
      <c r="FM80" s="16">
        <f t="shared" si="160"/>
        <v>0</v>
      </c>
      <c r="FN80" s="16">
        <f t="shared" si="160"/>
        <v>0</v>
      </c>
      <c r="FO80" s="16">
        <f t="shared" si="160"/>
        <v>0</v>
      </c>
      <c r="FP80" s="16">
        <f t="shared" si="160"/>
        <v>0</v>
      </c>
      <c r="FQ80" s="16">
        <f t="shared" si="160"/>
        <v>0</v>
      </c>
      <c r="FR80" s="16">
        <f t="shared" si="160"/>
        <v>0</v>
      </c>
      <c r="FS80" s="16">
        <f t="shared" si="160"/>
        <v>0</v>
      </c>
      <c r="FT80" s="16">
        <f t="shared" si="160"/>
        <v>0</v>
      </c>
      <c r="FU80" s="16">
        <f t="shared" si="160"/>
        <v>0</v>
      </c>
      <c r="FV80" s="16">
        <f t="shared" si="160"/>
        <v>0</v>
      </c>
      <c r="FW80" s="16">
        <f t="shared" si="160"/>
        <v>0</v>
      </c>
      <c r="FX80" s="16">
        <f t="shared" si="160"/>
        <v>0</v>
      </c>
      <c r="FY80" s="16">
        <f t="shared" si="160"/>
        <v>0</v>
      </c>
      <c r="FZ80" s="16">
        <f t="shared" si="160"/>
        <v>0</v>
      </c>
      <c r="GA80" s="16">
        <f t="shared" si="160"/>
        <v>0</v>
      </c>
      <c r="GB80" s="16">
        <f t="shared" si="160"/>
        <v>0</v>
      </c>
      <c r="GC80" s="16">
        <f t="shared" si="160"/>
        <v>0</v>
      </c>
      <c r="GD80" s="16">
        <f t="shared" si="160"/>
        <v>0</v>
      </c>
      <c r="GE80" s="16">
        <f t="shared" si="160"/>
        <v>0</v>
      </c>
      <c r="GF80" s="16">
        <f t="shared" si="160"/>
        <v>0</v>
      </c>
      <c r="GG80" s="16">
        <f t="shared" si="160"/>
        <v>0</v>
      </c>
      <c r="GH80" s="16">
        <f t="shared" si="160"/>
        <v>0</v>
      </c>
      <c r="GI80" s="16">
        <f t="shared" si="160"/>
        <v>0</v>
      </c>
      <c r="GJ80" s="16">
        <f t="shared" si="160"/>
        <v>0</v>
      </c>
      <c r="GK80" s="16">
        <f t="shared" si="160"/>
        <v>0</v>
      </c>
      <c r="GL80" s="16">
        <f t="shared" si="160"/>
        <v>0</v>
      </c>
      <c r="GM80" s="16">
        <f t="shared" si="160"/>
        <v>0</v>
      </c>
      <c r="GN80" s="16">
        <f t="shared" si="160"/>
        <v>0</v>
      </c>
      <c r="GO80" s="16">
        <f t="shared" si="160"/>
        <v>0</v>
      </c>
    </row>
    <row r="81" spans="1:256" s="9" customFormat="1" ht="15">
      <c r="A81" s="4" t="s">
        <v>247</v>
      </c>
      <c r="B81" s="4"/>
      <c r="C81" s="12" t="s">
        <v>216</v>
      </c>
      <c r="G81" s="19">
        <v>5.4</v>
      </c>
      <c r="O81" s="29"/>
      <c r="P81" s="19">
        <v>8.2</v>
      </c>
      <c r="X81" s="29"/>
      <c r="AP81" s="19">
        <v>2.9</v>
      </c>
      <c r="BQ81" s="19">
        <v>2.8</v>
      </c>
      <c r="BT81" s="31"/>
      <c r="BU81" s="31"/>
      <c r="BV81" s="31"/>
      <c r="CP81" s="19">
        <v>2.1</v>
      </c>
      <c r="DP81" s="19">
        <v>3.9</v>
      </c>
      <c r="DQ81" s="29"/>
      <c r="DR81" s="29"/>
      <c r="DS81" s="29"/>
      <c r="DT81" s="29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197" ht="15">
      <c r="A82" s="4"/>
      <c r="B82" s="4"/>
      <c r="C82" s="12" t="s">
        <v>217</v>
      </c>
      <c r="D82" s="14">
        <v>13.6</v>
      </c>
      <c r="E82" s="14">
        <f>D83</f>
        <v>13.6</v>
      </c>
      <c r="F82" s="14">
        <f aca="true" t="shared" si="161" ref="F82:BQ82">E83</f>
        <v>13.6</v>
      </c>
      <c r="G82" s="14">
        <f t="shared" si="161"/>
        <v>13.6</v>
      </c>
      <c r="H82" s="14">
        <f t="shared" si="161"/>
        <v>8.2</v>
      </c>
      <c r="I82" s="14">
        <f t="shared" si="161"/>
        <v>8.2</v>
      </c>
      <c r="J82" s="14">
        <f t="shared" si="161"/>
        <v>8.2</v>
      </c>
      <c r="K82" s="14">
        <f t="shared" si="161"/>
        <v>8.2</v>
      </c>
      <c r="L82" s="14">
        <f t="shared" si="161"/>
        <v>8.2</v>
      </c>
      <c r="M82" s="14">
        <f t="shared" si="161"/>
        <v>8.2</v>
      </c>
      <c r="N82" s="14">
        <f t="shared" si="161"/>
        <v>8.2</v>
      </c>
      <c r="O82" s="15">
        <f t="shared" si="161"/>
        <v>8.2</v>
      </c>
      <c r="P82" s="14">
        <f t="shared" si="161"/>
        <v>8.2</v>
      </c>
      <c r="Q82" s="14">
        <f t="shared" si="161"/>
        <v>0</v>
      </c>
      <c r="R82" s="14">
        <f t="shared" si="161"/>
        <v>0</v>
      </c>
      <c r="S82" s="14">
        <f t="shared" si="161"/>
        <v>0</v>
      </c>
      <c r="T82" s="14">
        <f t="shared" si="161"/>
        <v>0</v>
      </c>
      <c r="U82" s="14">
        <f t="shared" si="161"/>
        <v>0</v>
      </c>
      <c r="V82" s="14">
        <f t="shared" si="161"/>
        <v>0</v>
      </c>
      <c r="W82" s="14">
        <f t="shared" si="161"/>
        <v>0</v>
      </c>
      <c r="X82" s="15">
        <f t="shared" si="161"/>
        <v>0</v>
      </c>
      <c r="Y82" s="14">
        <f>X83+2.9</f>
        <v>2.9</v>
      </c>
      <c r="Z82" s="14">
        <f t="shared" si="161"/>
        <v>2.9</v>
      </c>
      <c r="AA82" s="14">
        <f t="shared" si="161"/>
        <v>2.9</v>
      </c>
      <c r="AB82" s="14">
        <f t="shared" si="161"/>
        <v>2.9</v>
      </c>
      <c r="AC82" s="14">
        <f t="shared" si="161"/>
        <v>2.9</v>
      </c>
      <c r="AD82" s="14">
        <f t="shared" si="161"/>
        <v>2.9</v>
      </c>
      <c r="AE82" s="14">
        <f t="shared" si="161"/>
        <v>2.9</v>
      </c>
      <c r="AF82" s="14">
        <f t="shared" si="161"/>
        <v>2.9</v>
      </c>
      <c r="AG82" s="14">
        <f t="shared" si="161"/>
        <v>2.9</v>
      </c>
      <c r="AH82" s="14">
        <f t="shared" si="161"/>
        <v>2.9</v>
      </c>
      <c r="AI82" s="14">
        <f t="shared" si="161"/>
        <v>2.9</v>
      </c>
      <c r="AJ82" s="14">
        <f t="shared" si="161"/>
        <v>2.9</v>
      </c>
      <c r="AK82" s="14">
        <f t="shared" si="161"/>
        <v>2.9</v>
      </c>
      <c r="AL82" s="14">
        <f t="shared" si="161"/>
        <v>2.9</v>
      </c>
      <c r="AM82" s="14">
        <f t="shared" si="161"/>
        <v>2.9</v>
      </c>
      <c r="AN82" s="14">
        <f t="shared" si="161"/>
        <v>2.9</v>
      </c>
      <c r="AO82" s="14">
        <f t="shared" si="161"/>
        <v>2.9</v>
      </c>
      <c r="AP82" s="14">
        <f t="shared" si="161"/>
        <v>2.9</v>
      </c>
      <c r="AQ82" s="14">
        <f t="shared" si="161"/>
        <v>0</v>
      </c>
      <c r="AR82" s="14">
        <f t="shared" si="161"/>
        <v>0</v>
      </c>
      <c r="AS82" s="14">
        <f t="shared" si="161"/>
        <v>0</v>
      </c>
      <c r="AT82" s="14">
        <f t="shared" si="161"/>
        <v>0</v>
      </c>
      <c r="AU82" s="14">
        <f t="shared" si="161"/>
        <v>0</v>
      </c>
      <c r="AV82" s="14">
        <f t="shared" si="161"/>
        <v>0</v>
      </c>
      <c r="AW82" s="14">
        <f t="shared" si="161"/>
        <v>0</v>
      </c>
      <c r="AX82" s="14">
        <f t="shared" si="161"/>
        <v>0</v>
      </c>
      <c r="AY82" s="14">
        <f t="shared" si="161"/>
        <v>0</v>
      </c>
      <c r="AZ82" s="14">
        <f>AY83+2.8+2.1</f>
        <v>4.9</v>
      </c>
      <c r="BA82" s="14">
        <f t="shared" si="161"/>
        <v>4.9</v>
      </c>
      <c r="BB82" s="14">
        <f t="shared" si="161"/>
        <v>4.9</v>
      </c>
      <c r="BC82" s="14">
        <f t="shared" si="161"/>
        <v>4.9</v>
      </c>
      <c r="BD82" s="14">
        <f t="shared" si="161"/>
        <v>4.9</v>
      </c>
      <c r="BE82" s="14">
        <f t="shared" si="161"/>
        <v>4.9</v>
      </c>
      <c r="BF82" s="14">
        <f t="shared" si="161"/>
        <v>4.9</v>
      </c>
      <c r="BG82" s="14">
        <f t="shared" si="161"/>
        <v>4.9</v>
      </c>
      <c r="BH82" s="14">
        <f t="shared" si="161"/>
        <v>4.9</v>
      </c>
      <c r="BI82" s="14">
        <f t="shared" si="161"/>
        <v>4.9</v>
      </c>
      <c r="BJ82" s="14">
        <f t="shared" si="161"/>
        <v>4.9</v>
      </c>
      <c r="BK82" s="14">
        <f t="shared" si="161"/>
        <v>4.9</v>
      </c>
      <c r="BL82" s="14">
        <f t="shared" si="161"/>
        <v>4.9</v>
      </c>
      <c r="BM82" s="14">
        <f t="shared" si="161"/>
        <v>4.9</v>
      </c>
      <c r="BN82" s="14">
        <f t="shared" si="161"/>
        <v>4.9</v>
      </c>
      <c r="BO82" s="14">
        <f t="shared" si="161"/>
        <v>4.9</v>
      </c>
      <c r="BP82" s="14">
        <f t="shared" si="161"/>
        <v>4.9</v>
      </c>
      <c r="BQ82" s="14">
        <f t="shared" si="161"/>
        <v>4.9</v>
      </c>
      <c r="BR82" s="14">
        <f aca="true" t="shared" si="162" ref="BR82:EC82">BQ83</f>
        <v>2.1000000000000005</v>
      </c>
      <c r="BS82" s="14">
        <f t="shared" si="162"/>
        <v>2.1000000000000005</v>
      </c>
      <c r="BT82" s="26">
        <f t="shared" si="162"/>
        <v>2.1000000000000005</v>
      </c>
      <c r="BU82" s="26">
        <f t="shared" si="162"/>
        <v>2.1000000000000005</v>
      </c>
      <c r="BV82" s="26">
        <f t="shared" si="162"/>
        <v>2.1000000000000005</v>
      </c>
      <c r="BW82" s="14">
        <f t="shared" si="162"/>
        <v>2.1000000000000005</v>
      </c>
      <c r="BX82" s="14">
        <f t="shared" si="162"/>
        <v>2.1000000000000005</v>
      </c>
      <c r="BY82" s="14">
        <f t="shared" si="162"/>
        <v>2.1000000000000005</v>
      </c>
      <c r="BZ82" s="14">
        <f t="shared" si="162"/>
        <v>2.1000000000000005</v>
      </c>
      <c r="CA82" s="14">
        <f t="shared" si="162"/>
        <v>2.1000000000000005</v>
      </c>
      <c r="CB82" s="14">
        <f t="shared" si="162"/>
        <v>2.1000000000000005</v>
      </c>
      <c r="CC82" s="14">
        <f t="shared" si="162"/>
        <v>2.1000000000000005</v>
      </c>
      <c r="CD82" s="14">
        <f t="shared" si="162"/>
        <v>2.1000000000000005</v>
      </c>
      <c r="CE82" s="14">
        <f t="shared" si="162"/>
        <v>2.1000000000000005</v>
      </c>
      <c r="CF82" s="14">
        <f t="shared" si="162"/>
        <v>2.1000000000000005</v>
      </c>
      <c r="CG82" s="14">
        <f t="shared" si="162"/>
        <v>2.1000000000000005</v>
      </c>
      <c r="CH82" s="14">
        <f t="shared" si="162"/>
        <v>2.1000000000000005</v>
      </c>
      <c r="CI82" s="14">
        <f t="shared" si="162"/>
        <v>2.1000000000000005</v>
      </c>
      <c r="CJ82" s="14">
        <f t="shared" si="162"/>
        <v>2.1000000000000005</v>
      </c>
      <c r="CK82" s="14">
        <f t="shared" si="162"/>
        <v>2.1000000000000005</v>
      </c>
      <c r="CL82" s="14">
        <f t="shared" si="162"/>
        <v>2.1000000000000005</v>
      </c>
      <c r="CM82" s="14">
        <f t="shared" si="162"/>
        <v>2.1000000000000005</v>
      </c>
      <c r="CN82" s="14">
        <f t="shared" si="162"/>
        <v>2.1000000000000005</v>
      </c>
      <c r="CO82" s="14">
        <f t="shared" si="162"/>
        <v>2.1000000000000005</v>
      </c>
      <c r="CP82" s="14">
        <f t="shared" si="162"/>
        <v>2.1000000000000005</v>
      </c>
      <c r="CQ82" s="14">
        <f t="shared" si="162"/>
        <v>0</v>
      </c>
      <c r="CR82" s="14">
        <f t="shared" si="162"/>
        <v>0</v>
      </c>
      <c r="CS82" s="14">
        <f t="shared" si="162"/>
        <v>0</v>
      </c>
      <c r="CT82" s="14">
        <f t="shared" si="162"/>
        <v>0</v>
      </c>
      <c r="CU82" s="14">
        <f t="shared" si="162"/>
        <v>0</v>
      </c>
      <c r="CV82" s="14">
        <f t="shared" si="162"/>
        <v>0</v>
      </c>
      <c r="CW82" s="14">
        <f t="shared" si="162"/>
        <v>0</v>
      </c>
      <c r="CX82" s="14">
        <f t="shared" si="162"/>
        <v>0</v>
      </c>
      <c r="CY82" s="14">
        <f t="shared" si="162"/>
        <v>0</v>
      </c>
      <c r="CZ82" s="14">
        <f t="shared" si="162"/>
        <v>0</v>
      </c>
      <c r="DA82" s="14">
        <f t="shared" si="162"/>
        <v>0</v>
      </c>
      <c r="DB82" s="14">
        <f t="shared" si="162"/>
        <v>0</v>
      </c>
      <c r="DC82" s="14">
        <f>DB83+3.9</f>
        <v>3.9</v>
      </c>
      <c r="DD82" s="14">
        <f t="shared" si="162"/>
        <v>3.9</v>
      </c>
      <c r="DE82" s="14">
        <f t="shared" si="162"/>
        <v>3.9</v>
      </c>
      <c r="DF82" s="14">
        <f t="shared" si="162"/>
        <v>3.9</v>
      </c>
      <c r="DG82" s="14">
        <f t="shared" si="162"/>
        <v>3.9</v>
      </c>
      <c r="DH82" s="14">
        <f t="shared" si="162"/>
        <v>3.9</v>
      </c>
      <c r="DI82" s="14">
        <f t="shared" si="162"/>
        <v>3.9</v>
      </c>
      <c r="DJ82" s="14">
        <f t="shared" si="162"/>
        <v>3.9</v>
      </c>
      <c r="DK82" s="14">
        <f t="shared" si="162"/>
        <v>3.9</v>
      </c>
      <c r="DL82" s="14">
        <f t="shared" si="162"/>
        <v>3.9</v>
      </c>
      <c r="DM82" s="14">
        <f t="shared" si="162"/>
        <v>3.9</v>
      </c>
      <c r="DN82" s="14">
        <f t="shared" si="162"/>
        <v>3.9</v>
      </c>
      <c r="DO82" s="14">
        <f t="shared" si="162"/>
        <v>3.9</v>
      </c>
      <c r="DP82" s="15">
        <f t="shared" si="162"/>
        <v>3.9</v>
      </c>
      <c r="DQ82" s="15">
        <f t="shared" si="162"/>
        <v>0</v>
      </c>
      <c r="DR82" s="15">
        <f t="shared" si="162"/>
        <v>0</v>
      </c>
      <c r="DS82" s="15">
        <f t="shared" si="162"/>
        <v>0</v>
      </c>
      <c r="DT82" s="15">
        <f t="shared" si="162"/>
        <v>0</v>
      </c>
      <c r="DU82" s="14">
        <f t="shared" si="162"/>
        <v>0</v>
      </c>
      <c r="DV82" s="14">
        <f t="shared" si="162"/>
        <v>0</v>
      </c>
      <c r="DW82" s="14">
        <f t="shared" si="162"/>
        <v>0</v>
      </c>
      <c r="DX82" s="14">
        <f t="shared" si="162"/>
        <v>0</v>
      </c>
      <c r="DY82" s="14">
        <f t="shared" si="162"/>
        <v>0</v>
      </c>
      <c r="DZ82" s="14">
        <f t="shared" si="162"/>
        <v>0</v>
      </c>
      <c r="EA82" s="14">
        <f t="shared" si="162"/>
        <v>0</v>
      </c>
      <c r="EB82" s="14">
        <f t="shared" si="162"/>
        <v>0</v>
      </c>
      <c r="EC82" s="14">
        <f t="shared" si="162"/>
        <v>0</v>
      </c>
      <c r="ED82" s="14">
        <f aca="true" t="shared" si="163" ref="ED82:GO82">EC83</f>
        <v>0</v>
      </c>
      <c r="EE82" s="14">
        <f t="shared" si="163"/>
        <v>0</v>
      </c>
      <c r="EF82" s="14">
        <f t="shared" si="163"/>
        <v>0</v>
      </c>
      <c r="EG82" s="14">
        <f t="shared" si="163"/>
        <v>0</v>
      </c>
      <c r="EH82" s="14">
        <f t="shared" si="163"/>
        <v>0</v>
      </c>
      <c r="EI82" s="14">
        <f t="shared" si="163"/>
        <v>0</v>
      </c>
      <c r="EJ82" s="14">
        <f t="shared" si="163"/>
        <v>0</v>
      </c>
      <c r="EK82" s="14">
        <f t="shared" si="163"/>
        <v>0</v>
      </c>
      <c r="EL82" s="14">
        <f t="shared" si="163"/>
        <v>0</v>
      </c>
      <c r="EM82" s="14">
        <f t="shared" si="163"/>
        <v>0</v>
      </c>
      <c r="EN82" s="14">
        <f t="shared" si="163"/>
        <v>0</v>
      </c>
      <c r="EO82" s="14">
        <f t="shared" si="163"/>
        <v>0</v>
      </c>
      <c r="EP82" s="14">
        <f t="shared" si="163"/>
        <v>0</v>
      </c>
      <c r="EQ82" s="14">
        <f t="shared" si="163"/>
        <v>0</v>
      </c>
      <c r="ER82" s="14">
        <f>EQ83</f>
        <v>0</v>
      </c>
      <c r="ES82" s="14">
        <f>ER83</f>
        <v>0</v>
      </c>
      <c r="ET82" s="14">
        <f>ES83</f>
        <v>0</v>
      </c>
      <c r="EU82" s="14">
        <f t="shared" si="163"/>
        <v>0</v>
      </c>
      <c r="EV82" s="14">
        <f t="shared" si="163"/>
        <v>0</v>
      </c>
      <c r="EW82" s="14">
        <f t="shared" si="163"/>
        <v>0</v>
      </c>
      <c r="EX82" s="14">
        <f t="shared" si="163"/>
        <v>0</v>
      </c>
      <c r="EY82" s="14">
        <f t="shared" si="163"/>
        <v>0</v>
      </c>
      <c r="EZ82" s="14">
        <f t="shared" si="163"/>
        <v>0</v>
      </c>
      <c r="FA82" s="14">
        <f t="shared" si="163"/>
        <v>0</v>
      </c>
      <c r="FB82" s="14">
        <f t="shared" si="163"/>
        <v>0</v>
      </c>
      <c r="FC82" s="14">
        <f t="shared" si="163"/>
        <v>0</v>
      </c>
      <c r="FD82" s="14">
        <f t="shared" si="163"/>
        <v>0</v>
      </c>
      <c r="FE82" s="14">
        <f t="shared" si="163"/>
        <v>0</v>
      </c>
      <c r="FF82" s="14">
        <f t="shared" si="163"/>
        <v>0</v>
      </c>
      <c r="FG82" s="14">
        <f t="shared" si="163"/>
        <v>0</v>
      </c>
      <c r="FH82" s="14">
        <f t="shared" si="163"/>
        <v>0</v>
      </c>
      <c r="FI82" s="14">
        <f t="shared" si="163"/>
        <v>0</v>
      </c>
      <c r="FJ82" s="14">
        <f t="shared" si="163"/>
        <v>0</v>
      </c>
      <c r="FK82" s="14">
        <f t="shared" si="163"/>
        <v>0</v>
      </c>
      <c r="FL82" s="14">
        <f t="shared" si="163"/>
        <v>0</v>
      </c>
      <c r="FM82" s="14">
        <f t="shared" si="163"/>
        <v>0</v>
      </c>
      <c r="FN82" s="14">
        <f t="shared" si="163"/>
        <v>0</v>
      </c>
      <c r="FO82" s="14">
        <f t="shared" si="163"/>
        <v>0</v>
      </c>
      <c r="FP82" s="14">
        <f t="shared" si="163"/>
        <v>0</v>
      </c>
      <c r="FQ82" s="14">
        <f t="shared" si="163"/>
        <v>0</v>
      </c>
      <c r="FR82" s="14">
        <f t="shared" si="163"/>
        <v>0</v>
      </c>
      <c r="FS82" s="14">
        <f t="shared" si="163"/>
        <v>0</v>
      </c>
      <c r="FT82" s="14">
        <f t="shared" si="163"/>
        <v>0</v>
      </c>
      <c r="FU82" s="14">
        <f t="shared" si="163"/>
        <v>0</v>
      </c>
      <c r="FV82" s="14">
        <f t="shared" si="163"/>
        <v>0</v>
      </c>
      <c r="FW82" s="14">
        <f t="shared" si="163"/>
        <v>0</v>
      </c>
      <c r="FX82" s="14">
        <f t="shared" si="163"/>
        <v>0</v>
      </c>
      <c r="FY82" s="14">
        <f t="shared" si="163"/>
        <v>0</v>
      </c>
      <c r="FZ82" s="14">
        <f t="shared" si="163"/>
        <v>0</v>
      </c>
      <c r="GA82" s="14">
        <f t="shared" si="163"/>
        <v>0</v>
      </c>
      <c r="GB82" s="14">
        <f t="shared" si="163"/>
        <v>0</v>
      </c>
      <c r="GC82" s="14">
        <f t="shared" si="163"/>
        <v>0</v>
      </c>
      <c r="GD82" s="14">
        <f t="shared" si="163"/>
        <v>0</v>
      </c>
      <c r="GE82" s="14">
        <f t="shared" si="163"/>
        <v>0</v>
      </c>
      <c r="GF82" s="14">
        <f t="shared" si="163"/>
        <v>0</v>
      </c>
      <c r="GG82" s="14">
        <f t="shared" si="163"/>
        <v>0</v>
      </c>
      <c r="GH82" s="14">
        <f t="shared" si="163"/>
        <v>0</v>
      </c>
      <c r="GI82" s="14">
        <f t="shared" si="163"/>
        <v>0</v>
      </c>
      <c r="GJ82" s="14">
        <f t="shared" si="163"/>
        <v>0</v>
      </c>
      <c r="GK82" s="14">
        <f t="shared" si="163"/>
        <v>0</v>
      </c>
      <c r="GL82" s="14">
        <f t="shared" si="163"/>
        <v>0</v>
      </c>
      <c r="GM82" s="14">
        <f t="shared" si="163"/>
        <v>0</v>
      </c>
      <c r="GN82" s="14">
        <f t="shared" si="163"/>
        <v>0</v>
      </c>
      <c r="GO82" s="14">
        <f t="shared" si="163"/>
        <v>0</v>
      </c>
    </row>
    <row r="83" spans="1:197" ht="15">
      <c r="A83" s="4"/>
      <c r="B83" s="4"/>
      <c r="C83" s="12" t="s">
        <v>218</v>
      </c>
      <c r="D83" s="16">
        <f>D82-D81</f>
        <v>13.6</v>
      </c>
      <c r="E83" s="16">
        <f>E82-E81</f>
        <v>13.6</v>
      </c>
      <c r="F83" s="16">
        <f aca="true" t="shared" si="164" ref="F83:BQ83">F82-F81</f>
        <v>13.6</v>
      </c>
      <c r="G83" s="16">
        <f t="shared" si="164"/>
        <v>8.2</v>
      </c>
      <c r="H83" s="16">
        <f t="shared" si="164"/>
        <v>8.2</v>
      </c>
      <c r="I83" s="16">
        <f t="shared" si="164"/>
        <v>8.2</v>
      </c>
      <c r="J83" s="16">
        <f t="shared" si="164"/>
        <v>8.2</v>
      </c>
      <c r="K83" s="16">
        <f t="shared" si="164"/>
        <v>8.2</v>
      </c>
      <c r="L83" s="16">
        <f t="shared" si="164"/>
        <v>8.2</v>
      </c>
      <c r="M83" s="16">
        <f t="shared" si="164"/>
        <v>8.2</v>
      </c>
      <c r="N83" s="16">
        <f t="shared" si="164"/>
        <v>8.2</v>
      </c>
      <c r="O83" s="17">
        <f t="shared" si="164"/>
        <v>8.2</v>
      </c>
      <c r="P83" s="16">
        <f t="shared" si="164"/>
        <v>0</v>
      </c>
      <c r="Q83" s="16">
        <f t="shared" si="164"/>
        <v>0</v>
      </c>
      <c r="R83" s="16">
        <f t="shared" si="164"/>
        <v>0</v>
      </c>
      <c r="S83" s="16">
        <f t="shared" si="164"/>
        <v>0</v>
      </c>
      <c r="T83" s="16">
        <f t="shared" si="164"/>
        <v>0</v>
      </c>
      <c r="U83" s="16">
        <f t="shared" si="164"/>
        <v>0</v>
      </c>
      <c r="V83" s="16">
        <f t="shared" si="164"/>
        <v>0</v>
      </c>
      <c r="W83" s="16">
        <f t="shared" si="164"/>
        <v>0</v>
      </c>
      <c r="X83" s="17">
        <f t="shared" si="164"/>
        <v>0</v>
      </c>
      <c r="Y83" s="16">
        <f t="shared" si="164"/>
        <v>2.9</v>
      </c>
      <c r="Z83" s="16">
        <f t="shared" si="164"/>
        <v>2.9</v>
      </c>
      <c r="AA83" s="16">
        <f t="shared" si="164"/>
        <v>2.9</v>
      </c>
      <c r="AB83" s="16">
        <f t="shared" si="164"/>
        <v>2.9</v>
      </c>
      <c r="AC83" s="16">
        <f t="shared" si="164"/>
        <v>2.9</v>
      </c>
      <c r="AD83" s="16">
        <f t="shared" si="164"/>
        <v>2.9</v>
      </c>
      <c r="AE83" s="16">
        <f t="shared" si="164"/>
        <v>2.9</v>
      </c>
      <c r="AF83" s="16">
        <f t="shared" si="164"/>
        <v>2.9</v>
      </c>
      <c r="AG83" s="16">
        <f t="shared" si="164"/>
        <v>2.9</v>
      </c>
      <c r="AH83" s="16">
        <f t="shared" si="164"/>
        <v>2.9</v>
      </c>
      <c r="AI83" s="16">
        <f t="shared" si="164"/>
        <v>2.9</v>
      </c>
      <c r="AJ83" s="16">
        <f t="shared" si="164"/>
        <v>2.9</v>
      </c>
      <c r="AK83" s="16">
        <f t="shared" si="164"/>
        <v>2.9</v>
      </c>
      <c r="AL83" s="16">
        <f t="shared" si="164"/>
        <v>2.9</v>
      </c>
      <c r="AM83" s="16">
        <f t="shared" si="164"/>
        <v>2.9</v>
      </c>
      <c r="AN83" s="16">
        <f t="shared" si="164"/>
        <v>2.9</v>
      </c>
      <c r="AO83" s="16">
        <f t="shared" si="164"/>
        <v>2.9</v>
      </c>
      <c r="AP83" s="16">
        <f t="shared" si="164"/>
        <v>0</v>
      </c>
      <c r="AQ83" s="16">
        <f t="shared" si="164"/>
        <v>0</v>
      </c>
      <c r="AR83" s="16">
        <f t="shared" si="164"/>
        <v>0</v>
      </c>
      <c r="AS83" s="16">
        <f t="shared" si="164"/>
        <v>0</v>
      </c>
      <c r="AT83" s="16">
        <f t="shared" si="164"/>
        <v>0</v>
      </c>
      <c r="AU83" s="16">
        <f t="shared" si="164"/>
        <v>0</v>
      </c>
      <c r="AV83" s="16">
        <f t="shared" si="164"/>
        <v>0</v>
      </c>
      <c r="AW83" s="16">
        <f t="shared" si="164"/>
        <v>0</v>
      </c>
      <c r="AX83" s="16">
        <f t="shared" si="164"/>
        <v>0</v>
      </c>
      <c r="AY83" s="16">
        <f t="shared" si="164"/>
        <v>0</v>
      </c>
      <c r="AZ83" s="16">
        <f t="shared" si="164"/>
        <v>4.9</v>
      </c>
      <c r="BA83" s="16">
        <f t="shared" si="164"/>
        <v>4.9</v>
      </c>
      <c r="BB83" s="16">
        <f t="shared" si="164"/>
        <v>4.9</v>
      </c>
      <c r="BC83" s="16">
        <f t="shared" si="164"/>
        <v>4.9</v>
      </c>
      <c r="BD83" s="16">
        <f t="shared" si="164"/>
        <v>4.9</v>
      </c>
      <c r="BE83" s="16">
        <f t="shared" si="164"/>
        <v>4.9</v>
      </c>
      <c r="BF83" s="16">
        <f t="shared" si="164"/>
        <v>4.9</v>
      </c>
      <c r="BG83" s="16">
        <f t="shared" si="164"/>
        <v>4.9</v>
      </c>
      <c r="BH83" s="16">
        <f t="shared" si="164"/>
        <v>4.9</v>
      </c>
      <c r="BI83" s="16">
        <f t="shared" si="164"/>
        <v>4.9</v>
      </c>
      <c r="BJ83" s="16">
        <f t="shared" si="164"/>
        <v>4.9</v>
      </c>
      <c r="BK83" s="16">
        <f t="shared" si="164"/>
        <v>4.9</v>
      </c>
      <c r="BL83" s="16">
        <f t="shared" si="164"/>
        <v>4.9</v>
      </c>
      <c r="BM83" s="16">
        <f t="shared" si="164"/>
        <v>4.9</v>
      </c>
      <c r="BN83" s="16">
        <f t="shared" si="164"/>
        <v>4.9</v>
      </c>
      <c r="BO83" s="16">
        <f t="shared" si="164"/>
        <v>4.9</v>
      </c>
      <c r="BP83" s="16">
        <f t="shared" si="164"/>
        <v>4.9</v>
      </c>
      <c r="BQ83" s="16">
        <f t="shared" si="164"/>
        <v>2.1000000000000005</v>
      </c>
      <c r="BR83" s="16">
        <f aca="true" t="shared" si="165" ref="BR83:EC83">BR82-BR81</f>
        <v>2.1000000000000005</v>
      </c>
      <c r="BS83" s="16">
        <f t="shared" si="165"/>
        <v>2.1000000000000005</v>
      </c>
      <c r="BT83" s="27">
        <f t="shared" si="165"/>
        <v>2.1000000000000005</v>
      </c>
      <c r="BU83" s="27">
        <f t="shared" si="165"/>
        <v>2.1000000000000005</v>
      </c>
      <c r="BV83" s="27">
        <f t="shared" si="165"/>
        <v>2.1000000000000005</v>
      </c>
      <c r="BW83" s="16">
        <f t="shared" si="165"/>
        <v>2.1000000000000005</v>
      </c>
      <c r="BX83" s="16">
        <f t="shared" si="165"/>
        <v>2.1000000000000005</v>
      </c>
      <c r="BY83" s="16">
        <f t="shared" si="165"/>
        <v>2.1000000000000005</v>
      </c>
      <c r="BZ83" s="16">
        <f t="shared" si="165"/>
        <v>2.1000000000000005</v>
      </c>
      <c r="CA83" s="16">
        <f t="shared" si="165"/>
        <v>2.1000000000000005</v>
      </c>
      <c r="CB83" s="16">
        <f t="shared" si="165"/>
        <v>2.1000000000000005</v>
      </c>
      <c r="CC83" s="16">
        <f t="shared" si="165"/>
        <v>2.1000000000000005</v>
      </c>
      <c r="CD83" s="16">
        <f t="shared" si="165"/>
        <v>2.1000000000000005</v>
      </c>
      <c r="CE83" s="16">
        <f t="shared" si="165"/>
        <v>2.1000000000000005</v>
      </c>
      <c r="CF83" s="16">
        <f t="shared" si="165"/>
        <v>2.1000000000000005</v>
      </c>
      <c r="CG83" s="16">
        <f t="shared" si="165"/>
        <v>2.1000000000000005</v>
      </c>
      <c r="CH83" s="16">
        <f t="shared" si="165"/>
        <v>2.1000000000000005</v>
      </c>
      <c r="CI83" s="16">
        <f t="shared" si="165"/>
        <v>2.1000000000000005</v>
      </c>
      <c r="CJ83" s="16">
        <f t="shared" si="165"/>
        <v>2.1000000000000005</v>
      </c>
      <c r="CK83" s="16">
        <f t="shared" si="165"/>
        <v>2.1000000000000005</v>
      </c>
      <c r="CL83" s="16">
        <f t="shared" si="165"/>
        <v>2.1000000000000005</v>
      </c>
      <c r="CM83" s="16">
        <f t="shared" si="165"/>
        <v>2.1000000000000005</v>
      </c>
      <c r="CN83" s="16">
        <f t="shared" si="165"/>
        <v>2.1000000000000005</v>
      </c>
      <c r="CO83" s="16">
        <f t="shared" si="165"/>
        <v>2.1000000000000005</v>
      </c>
      <c r="CP83" s="16">
        <f t="shared" si="165"/>
        <v>0</v>
      </c>
      <c r="CQ83" s="16">
        <f t="shared" si="165"/>
        <v>0</v>
      </c>
      <c r="CR83" s="16">
        <f t="shared" si="165"/>
        <v>0</v>
      </c>
      <c r="CS83" s="16">
        <f t="shared" si="165"/>
        <v>0</v>
      </c>
      <c r="CT83" s="16">
        <f t="shared" si="165"/>
        <v>0</v>
      </c>
      <c r="CU83" s="16">
        <f t="shared" si="165"/>
        <v>0</v>
      </c>
      <c r="CV83" s="16">
        <f t="shared" si="165"/>
        <v>0</v>
      </c>
      <c r="CW83" s="16">
        <f t="shared" si="165"/>
        <v>0</v>
      </c>
      <c r="CX83" s="16">
        <f t="shared" si="165"/>
        <v>0</v>
      </c>
      <c r="CY83" s="16">
        <f t="shared" si="165"/>
        <v>0</v>
      </c>
      <c r="CZ83" s="16">
        <f t="shared" si="165"/>
        <v>0</v>
      </c>
      <c r="DA83" s="16">
        <f t="shared" si="165"/>
        <v>0</v>
      </c>
      <c r="DB83" s="16">
        <f t="shared" si="165"/>
        <v>0</v>
      </c>
      <c r="DC83" s="16">
        <f t="shared" si="165"/>
        <v>3.9</v>
      </c>
      <c r="DD83" s="16">
        <f t="shared" si="165"/>
        <v>3.9</v>
      </c>
      <c r="DE83" s="16">
        <f t="shared" si="165"/>
        <v>3.9</v>
      </c>
      <c r="DF83" s="16">
        <f t="shared" si="165"/>
        <v>3.9</v>
      </c>
      <c r="DG83" s="16">
        <f t="shared" si="165"/>
        <v>3.9</v>
      </c>
      <c r="DH83" s="16">
        <f t="shared" si="165"/>
        <v>3.9</v>
      </c>
      <c r="DI83" s="16">
        <f t="shared" si="165"/>
        <v>3.9</v>
      </c>
      <c r="DJ83" s="16">
        <f t="shared" si="165"/>
        <v>3.9</v>
      </c>
      <c r="DK83" s="16">
        <f t="shared" si="165"/>
        <v>3.9</v>
      </c>
      <c r="DL83" s="16">
        <f t="shared" si="165"/>
        <v>3.9</v>
      </c>
      <c r="DM83" s="16">
        <f t="shared" si="165"/>
        <v>3.9</v>
      </c>
      <c r="DN83" s="16">
        <f t="shared" si="165"/>
        <v>3.9</v>
      </c>
      <c r="DO83" s="16">
        <f t="shared" si="165"/>
        <v>3.9</v>
      </c>
      <c r="DP83" s="17">
        <f t="shared" si="165"/>
        <v>0</v>
      </c>
      <c r="DQ83" s="17">
        <f t="shared" si="165"/>
        <v>0</v>
      </c>
      <c r="DR83" s="17">
        <f t="shared" si="165"/>
        <v>0</v>
      </c>
      <c r="DS83" s="17">
        <f t="shared" si="165"/>
        <v>0</v>
      </c>
      <c r="DT83" s="17">
        <f t="shared" si="165"/>
        <v>0</v>
      </c>
      <c r="DU83" s="16">
        <f t="shared" si="165"/>
        <v>0</v>
      </c>
      <c r="DV83" s="16">
        <f t="shared" si="165"/>
        <v>0</v>
      </c>
      <c r="DW83" s="16">
        <f t="shared" si="165"/>
        <v>0</v>
      </c>
      <c r="DX83" s="16">
        <f t="shared" si="165"/>
        <v>0</v>
      </c>
      <c r="DY83" s="16">
        <f t="shared" si="165"/>
        <v>0</v>
      </c>
      <c r="DZ83" s="16">
        <f t="shared" si="165"/>
        <v>0</v>
      </c>
      <c r="EA83" s="16">
        <f t="shared" si="165"/>
        <v>0</v>
      </c>
      <c r="EB83" s="16">
        <f t="shared" si="165"/>
        <v>0</v>
      </c>
      <c r="EC83" s="16">
        <f t="shared" si="165"/>
        <v>0</v>
      </c>
      <c r="ED83" s="16">
        <f aca="true" t="shared" si="166" ref="ED83:GO83">ED82-ED81</f>
        <v>0</v>
      </c>
      <c r="EE83" s="16">
        <f t="shared" si="166"/>
        <v>0</v>
      </c>
      <c r="EF83" s="16">
        <f t="shared" si="166"/>
        <v>0</v>
      </c>
      <c r="EG83" s="16">
        <f t="shared" si="166"/>
        <v>0</v>
      </c>
      <c r="EH83" s="16">
        <f t="shared" si="166"/>
        <v>0</v>
      </c>
      <c r="EI83" s="16">
        <f t="shared" si="166"/>
        <v>0</v>
      </c>
      <c r="EJ83" s="16">
        <f t="shared" si="166"/>
        <v>0</v>
      </c>
      <c r="EK83" s="16">
        <f t="shared" si="166"/>
        <v>0</v>
      </c>
      <c r="EL83" s="16">
        <f t="shared" si="166"/>
        <v>0</v>
      </c>
      <c r="EM83" s="16">
        <f t="shared" si="166"/>
        <v>0</v>
      </c>
      <c r="EN83" s="16">
        <f t="shared" si="166"/>
        <v>0</v>
      </c>
      <c r="EO83" s="16">
        <f t="shared" si="166"/>
        <v>0</v>
      </c>
      <c r="EP83" s="16">
        <f t="shared" si="166"/>
        <v>0</v>
      </c>
      <c r="EQ83" s="16">
        <f t="shared" si="166"/>
        <v>0</v>
      </c>
      <c r="ER83" s="16">
        <f t="shared" si="166"/>
        <v>0</v>
      </c>
      <c r="ES83" s="16">
        <f t="shared" si="166"/>
        <v>0</v>
      </c>
      <c r="ET83" s="16">
        <f t="shared" si="166"/>
        <v>0</v>
      </c>
      <c r="EU83" s="16">
        <f t="shared" si="166"/>
        <v>0</v>
      </c>
      <c r="EV83" s="16">
        <f t="shared" si="166"/>
        <v>0</v>
      </c>
      <c r="EW83" s="16">
        <f t="shared" si="166"/>
        <v>0</v>
      </c>
      <c r="EX83" s="16">
        <f t="shared" si="166"/>
        <v>0</v>
      </c>
      <c r="EY83" s="16">
        <f t="shared" si="166"/>
        <v>0</v>
      </c>
      <c r="EZ83" s="16">
        <f t="shared" si="166"/>
        <v>0</v>
      </c>
      <c r="FA83" s="16">
        <f t="shared" si="166"/>
        <v>0</v>
      </c>
      <c r="FB83" s="16">
        <f t="shared" si="166"/>
        <v>0</v>
      </c>
      <c r="FC83" s="16">
        <f t="shared" si="166"/>
        <v>0</v>
      </c>
      <c r="FD83" s="16">
        <f t="shared" si="166"/>
        <v>0</v>
      </c>
      <c r="FE83" s="16">
        <f t="shared" si="166"/>
        <v>0</v>
      </c>
      <c r="FF83" s="16">
        <f t="shared" si="166"/>
        <v>0</v>
      </c>
      <c r="FG83" s="16">
        <f t="shared" si="166"/>
        <v>0</v>
      </c>
      <c r="FH83" s="16">
        <f t="shared" si="166"/>
        <v>0</v>
      </c>
      <c r="FI83" s="16">
        <f t="shared" si="166"/>
        <v>0</v>
      </c>
      <c r="FJ83" s="16">
        <f t="shared" si="166"/>
        <v>0</v>
      </c>
      <c r="FK83" s="16">
        <f t="shared" si="166"/>
        <v>0</v>
      </c>
      <c r="FL83" s="16">
        <f t="shared" si="166"/>
        <v>0</v>
      </c>
      <c r="FM83" s="16">
        <f t="shared" si="166"/>
        <v>0</v>
      </c>
      <c r="FN83" s="16">
        <f t="shared" si="166"/>
        <v>0</v>
      </c>
      <c r="FO83" s="16">
        <f t="shared" si="166"/>
        <v>0</v>
      </c>
      <c r="FP83" s="16">
        <f t="shared" si="166"/>
        <v>0</v>
      </c>
      <c r="FQ83" s="16">
        <f t="shared" si="166"/>
        <v>0</v>
      </c>
      <c r="FR83" s="16">
        <f t="shared" si="166"/>
        <v>0</v>
      </c>
      <c r="FS83" s="16">
        <f t="shared" si="166"/>
        <v>0</v>
      </c>
      <c r="FT83" s="16">
        <f t="shared" si="166"/>
        <v>0</v>
      </c>
      <c r="FU83" s="16">
        <f t="shared" si="166"/>
        <v>0</v>
      </c>
      <c r="FV83" s="16">
        <f t="shared" si="166"/>
        <v>0</v>
      </c>
      <c r="FW83" s="16">
        <f t="shared" si="166"/>
        <v>0</v>
      </c>
      <c r="FX83" s="16">
        <f t="shared" si="166"/>
        <v>0</v>
      </c>
      <c r="FY83" s="16">
        <f t="shared" si="166"/>
        <v>0</v>
      </c>
      <c r="FZ83" s="16">
        <f t="shared" si="166"/>
        <v>0</v>
      </c>
      <c r="GA83" s="16">
        <f t="shared" si="166"/>
        <v>0</v>
      </c>
      <c r="GB83" s="16">
        <f t="shared" si="166"/>
        <v>0</v>
      </c>
      <c r="GC83" s="16">
        <f t="shared" si="166"/>
        <v>0</v>
      </c>
      <c r="GD83" s="16">
        <f t="shared" si="166"/>
        <v>0</v>
      </c>
      <c r="GE83" s="16">
        <f t="shared" si="166"/>
        <v>0</v>
      </c>
      <c r="GF83" s="16">
        <f t="shared" si="166"/>
        <v>0</v>
      </c>
      <c r="GG83" s="16">
        <f t="shared" si="166"/>
        <v>0</v>
      </c>
      <c r="GH83" s="16">
        <f t="shared" si="166"/>
        <v>0</v>
      </c>
      <c r="GI83" s="16">
        <f t="shared" si="166"/>
        <v>0</v>
      </c>
      <c r="GJ83" s="16">
        <f t="shared" si="166"/>
        <v>0</v>
      </c>
      <c r="GK83" s="16">
        <f t="shared" si="166"/>
        <v>0</v>
      </c>
      <c r="GL83" s="16">
        <f t="shared" si="166"/>
        <v>0</v>
      </c>
      <c r="GM83" s="16">
        <f t="shared" si="166"/>
        <v>0</v>
      </c>
      <c r="GN83" s="16">
        <f t="shared" si="166"/>
        <v>0</v>
      </c>
      <c r="GO83" s="16">
        <f t="shared" si="166"/>
        <v>0</v>
      </c>
    </row>
    <row r="84" spans="1:256" s="9" customFormat="1" ht="15">
      <c r="A84" s="4" t="s">
        <v>248</v>
      </c>
      <c r="B84" s="4"/>
      <c r="C84" s="12" t="s">
        <v>216</v>
      </c>
      <c r="F84" s="19">
        <v>4.6</v>
      </c>
      <c r="G84" s="19">
        <v>4.9</v>
      </c>
      <c r="H84" s="19">
        <v>5.8</v>
      </c>
      <c r="O84" s="29"/>
      <c r="X84" s="29"/>
      <c r="AG84" s="19">
        <v>5</v>
      </c>
      <c r="AJ84" s="19">
        <v>10.7</v>
      </c>
      <c r="BH84" s="30">
        <v>11.5</v>
      </c>
      <c r="BQ84" s="19">
        <v>5.9</v>
      </c>
      <c r="BT84" s="31"/>
      <c r="BU84" s="31"/>
      <c r="BV84" s="31"/>
      <c r="CH84" s="30">
        <v>11.2</v>
      </c>
      <c r="CQ84" s="19">
        <v>5</v>
      </c>
      <c r="CR84" s="30">
        <v>0.9</v>
      </c>
      <c r="DF84" s="30">
        <v>7.7</v>
      </c>
      <c r="DJ84" s="19">
        <v>7.1</v>
      </c>
      <c r="DP84" s="29"/>
      <c r="DQ84" s="29"/>
      <c r="DR84" s="29"/>
      <c r="DS84" s="29"/>
      <c r="DT84" s="29"/>
      <c r="EF84" s="19">
        <v>9.4</v>
      </c>
      <c r="EH84" s="19">
        <v>7.4</v>
      </c>
      <c r="EI84" s="19">
        <v>4</v>
      </c>
      <c r="FD84" s="30">
        <f>4.8+2.8+9.3+2</f>
        <v>18.9</v>
      </c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197" ht="15">
      <c r="A85" s="4"/>
      <c r="B85" s="4"/>
      <c r="C85" s="12" t="s">
        <v>217</v>
      </c>
      <c r="D85" s="14">
        <v>15.3</v>
      </c>
      <c r="E85" s="14">
        <f>D86</f>
        <v>15.3</v>
      </c>
      <c r="F85" s="14">
        <f aca="true" t="shared" si="167" ref="F85:BQ85">E86</f>
        <v>15.3</v>
      </c>
      <c r="G85" s="14">
        <f t="shared" si="167"/>
        <v>10.700000000000001</v>
      </c>
      <c r="H85" s="14">
        <f t="shared" si="167"/>
        <v>5.800000000000001</v>
      </c>
      <c r="I85" s="14">
        <f t="shared" si="167"/>
        <v>0</v>
      </c>
      <c r="J85" s="14">
        <f t="shared" si="167"/>
        <v>0</v>
      </c>
      <c r="K85" s="14">
        <f t="shared" si="167"/>
        <v>0</v>
      </c>
      <c r="L85" s="14">
        <f t="shared" si="167"/>
        <v>0</v>
      </c>
      <c r="M85" s="14">
        <f t="shared" si="167"/>
        <v>0</v>
      </c>
      <c r="N85" s="14">
        <f t="shared" si="167"/>
        <v>0</v>
      </c>
      <c r="O85" s="15">
        <f t="shared" si="167"/>
        <v>0</v>
      </c>
      <c r="P85" s="14">
        <f t="shared" si="167"/>
        <v>0</v>
      </c>
      <c r="Q85" s="14">
        <f t="shared" si="167"/>
        <v>0</v>
      </c>
      <c r="R85" s="14">
        <f t="shared" si="167"/>
        <v>0</v>
      </c>
      <c r="S85" s="14">
        <f t="shared" si="167"/>
        <v>0</v>
      </c>
      <c r="T85" s="14">
        <f t="shared" si="167"/>
        <v>0</v>
      </c>
      <c r="U85" s="14">
        <f t="shared" si="167"/>
        <v>0</v>
      </c>
      <c r="V85" s="14">
        <f t="shared" si="167"/>
        <v>0</v>
      </c>
      <c r="W85" s="14">
        <f t="shared" si="167"/>
        <v>0</v>
      </c>
      <c r="X85" s="15">
        <f t="shared" si="167"/>
        <v>0</v>
      </c>
      <c r="Y85" s="14">
        <f>X86+5+5.6</f>
        <v>10.6</v>
      </c>
      <c r="Z85" s="14">
        <f t="shared" si="167"/>
        <v>10.6</v>
      </c>
      <c r="AA85" s="14">
        <f t="shared" si="167"/>
        <v>10.6</v>
      </c>
      <c r="AB85" s="14">
        <f t="shared" si="167"/>
        <v>10.6</v>
      </c>
      <c r="AC85" s="14">
        <f t="shared" si="167"/>
        <v>10.6</v>
      </c>
      <c r="AD85" s="14">
        <f t="shared" si="167"/>
        <v>10.6</v>
      </c>
      <c r="AE85" s="14">
        <f>AD86+5.1</f>
        <v>15.7</v>
      </c>
      <c r="AF85" s="14">
        <f t="shared" si="167"/>
        <v>15.7</v>
      </c>
      <c r="AG85" s="14">
        <f t="shared" si="167"/>
        <v>15.7</v>
      </c>
      <c r="AH85" s="14">
        <f t="shared" si="167"/>
        <v>10.7</v>
      </c>
      <c r="AI85" s="14">
        <f t="shared" si="167"/>
        <v>10.7</v>
      </c>
      <c r="AJ85" s="14">
        <f t="shared" si="167"/>
        <v>10.7</v>
      </c>
      <c r="AK85" s="14">
        <f t="shared" si="167"/>
        <v>0</v>
      </c>
      <c r="AL85" s="14">
        <f t="shared" si="167"/>
        <v>0</v>
      </c>
      <c r="AM85" s="14">
        <f t="shared" si="167"/>
        <v>0</v>
      </c>
      <c r="AN85" s="14">
        <f t="shared" si="167"/>
        <v>0</v>
      </c>
      <c r="AO85" s="14">
        <f t="shared" si="167"/>
        <v>0</v>
      </c>
      <c r="AP85" s="14">
        <f t="shared" si="167"/>
        <v>0</v>
      </c>
      <c r="AQ85" s="14">
        <f t="shared" si="167"/>
        <v>0</v>
      </c>
      <c r="AR85" s="14">
        <f t="shared" si="167"/>
        <v>0</v>
      </c>
      <c r="AS85" s="14">
        <f t="shared" si="167"/>
        <v>0</v>
      </c>
      <c r="AT85" s="14">
        <f t="shared" si="167"/>
        <v>0</v>
      </c>
      <c r="AU85" s="14">
        <f t="shared" si="167"/>
        <v>0</v>
      </c>
      <c r="AV85" s="14">
        <f t="shared" si="167"/>
        <v>0</v>
      </c>
      <c r="AW85" s="14">
        <f t="shared" si="167"/>
        <v>0</v>
      </c>
      <c r="AX85" s="14">
        <f t="shared" si="167"/>
        <v>0</v>
      </c>
      <c r="AY85" s="14">
        <f t="shared" si="167"/>
        <v>0</v>
      </c>
      <c r="AZ85" s="14">
        <f t="shared" si="167"/>
        <v>0</v>
      </c>
      <c r="BA85" s="14">
        <f t="shared" si="167"/>
        <v>0</v>
      </c>
      <c r="BB85" s="14">
        <f>BA86+5.8+5.7</f>
        <v>11.5</v>
      </c>
      <c r="BC85" s="14">
        <f t="shared" si="167"/>
        <v>11.5</v>
      </c>
      <c r="BD85" s="14">
        <f t="shared" si="167"/>
        <v>11.5</v>
      </c>
      <c r="BE85" s="14">
        <f t="shared" si="167"/>
        <v>11.5</v>
      </c>
      <c r="BF85" s="14">
        <f t="shared" si="167"/>
        <v>11.5</v>
      </c>
      <c r="BG85" s="14">
        <f t="shared" si="167"/>
        <v>11.5</v>
      </c>
      <c r="BH85" s="14">
        <f t="shared" si="167"/>
        <v>11.5</v>
      </c>
      <c r="BI85" s="14">
        <f t="shared" si="167"/>
        <v>0</v>
      </c>
      <c r="BJ85" s="14">
        <f t="shared" si="167"/>
        <v>0</v>
      </c>
      <c r="BK85" s="14">
        <f>BJ86+5.9</f>
        <v>5.9</v>
      </c>
      <c r="BL85" s="14">
        <f t="shared" si="167"/>
        <v>5.9</v>
      </c>
      <c r="BM85" s="14">
        <f t="shared" si="167"/>
        <v>5.9</v>
      </c>
      <c r="BN85" s="14">
        <f t="shared" si="167"/>
        <v>5.9</v>
      </c>
      <c r="BO85" s="14">
        <f t="shared" si="167"/>
        <v>5.9</v>
      </c>
      <c r="BP85" s="14">
        <f t="shared" si="167"/>
        <v>5.9</v>
      </c>
      <c r="BQ85" s="14">
        <f t="shared" si="167"/>
        <v>5.9</v>
      </c>
      <c r="BR85" s="14">
        <f aca="true" t="shared" si="168" ref="BR85:EC85">BQ86</f>
        <v>0</v>
      </c>
      <c r="BS85" s="14">
        <f t="shared" si="168"/>
        <v>0</v>
      </c>
      <c r="BT85" s="26">
        <f t="shared" si="168"/>
        <v>0</v>
      </c>
      <c r="BU85" s="26">
        <f t="shared" si="168"/>
        <v>0</v>
      </c>
      <c r="BV85" s="26">
        <f t="shared" si="168"/>
        <v>0</v>
      </c>
      <c r="BW85" s="14">
        <f t="shared" si="168"/>
        <v>0</v>
      </c>
      <c r="BX85" s="14">
        <f t="shared" si="168"/>
        <v>0</v>
      </c>
      <c r="BY85" s="14">
        <f t="shared" si="168"/>
        <v>0</v>
      </c>
      <c r="BZ85" s="14">
        <f t="shared" si="168"/>
        <v>0</v>
      </c>
      <c r="CA85" s="14">
        <f t="shared" si="168"/>
        <v>0</v>
      </c>
      <c r="CB85" s="14">
        <f t="shared" si="168"/>
        <v>0</v>
      </c>
      <c r="CC85" s="14">
        <f t="shared" si="168"/>
        <v>0</v>
      </c>
      <c r="CD85" s="14">
        <f t="shared" si="168"/>
        <v>0</v>
      </c>
      <c r="CE85" s="14">
        <f t="shared" si="168"/>
        <v>0</v>
      </c>
      <c r="CF85" s="14">
        <f t="shared" si="168"/>
        <v>0</v>
      </c>
      <c r="CG85" s="14">
        <f>CF86+6.4+4.8</f>
        <v>11.2</v>
      </c>
      <c r="CH85" s="14">
        <f t="shared" si="168"/>
        <v>11.2</v>
      </c>
      <c r="CI85" s="14">
        <f t="shared" si="168"/>
        <v>0</v>
      </c>
      <c r="CJ85" s="14">
        <f t="shared" si="168"/>
        <v>0</v>
      </c>
      <c r="CK85" s="14">
        <f t="shared" si="168"/>
        <v>0</v>
      </c>
      <c r="CL85" s="14">
        <f t="shared" si="168"/>
        <v>0</v>
      </c>
      <c r="CM85" s="14">
        <f t="shared" si="168"/>
        <v>0</v>
      </c>
      <c r="CN85" s="14">
        <f t="shared" si="168"/>
        <v>0</v>
      </c>
      <c r="CO85" s="14">
        <f>CN86+7.1+2.7+5</f>
        <v>14.8</v>
      </c>
      <c r="CP85" s="14">
        <f t="shared" si="168"/>
        <v>14.8</v>
      </c>
      <c r="CQ85" s="14">
        <f t="shared" si="168"/>
        <v>14.8</v>
      </c>
      <c r="CR85" s="14">
        <f>CQ86+5.9</f>
        <v>15.700000000000001</v>
      </c>
      <c r="CS85" s="14">
        <f t="shared" si="168"/>
        <v>14.8</v>
      </c>
      <c r="CT85" s="14">
        <f t="shared" si="168"/>
        <v>14.8</v>
      </c>
      <c r="CU85" s="14">
        <f t="shared" si="168"/>
        <v>14.8</v>
      </c>
      <c r="CV85" s="14">
        <f t="shared" si="168"/>
        <v>14.8</v>
      </c>
      <c r="CW85" s="14">
        <f t="shared" si="168"/>
        <v>14.8</v>
      </c>
      <c r="CX85" s="14">
        <f t="shared" si="168"/>
        <v>14.8</v>
      </c>
      <c r="CY85" s="14">
        <f t="shared" si="168"/>
        <v>14.8</v>
      </c>
      <c r="CZ85" s="14">
        <f t="shared" si="168"/>
        <v>14.8</v>
      </c>
      <c r="DA85" s="14">
        <f t="shared" si="168"/>
        <v>14.8</v>
      </c>
      <c r="DB85" s="14">
        <f t="shared" si="168"/>
        <v>14.8</v>
      </c>
      <c r="DC85" s="14">
        <f t="shared" si="168"/>
        <v>14.8</v>
      </c>
      <c r="DD85" s="14">
        <f t="shared" si="168"/>
        <v>14.8</v>
      </c>
      <c r="DE85" s="14">
        <f t="shared" si="168"/>
        <v>14.8</v>
      </c>
      <c r="DF85" s="14">
        <f t="shared" si="168"/>
        <v>14.8</v>
      </c>
      <c r="DG85" s="14">
        <f t="shared" si="168"/>
        <v>7.1000000000000005</v>
      </c>
      <c r="DH85" s="14">
        <f t="shared" si="168"/>
        <v>7.1000000000000005</v>
      </c>
      <c r="DI85" s="14">
        <f t="shared" si="168"/>
        <v>7.1000000000000005</v>
      </c>
      <c r="DJ85" s="14">
        <f t="shared" si="168"/>
        <v>7.1000000000000005</v>
      </c>
      <c r="DK85" s="14">
        <f t="shared" si="168"/>
        <v>0</v>
      </c>
      <c r="DL85" s="14">
        <f t="shared" si="168"/>
        <v>0</v>
      </c>
      <c r="DM85" s="14">
        <f t="shared" si="168"/>
        <v>0</v>
      </c>
      <c r="DN85" s="14">
        <f t="shared" si="168"/>
        <v>0</v>
      </c>
      <c r="DO85" s="14">
        <f>DN86</f>
        <v>0</v>
      </c>
      <c r="DP85" s="15">
        <f t="shared" si="168"/>
        <v>0</v>
      </c>
      <c r="DQ85" s="15">
        <f t="shared" si="168"/>
        <v>0</v>
      </c>
      <c r="DR85" s="15">
        <f t="shared" si="168"/>
        <v>0</v>
      </c>
      <c r="DS85" s="15">
        <f t="shared" si="168"/>
        <v>0</v>
      </c>
      <c r="DT85" s="15">
        <f t="shared" si="168"/>
        <v>0</v>
      </c>
      <c r="DU85" s="14">
        <f t="shared" si="168"/>
        <v>0</v>
      </c>
      <c r="DV85" s="14">
        <f t="shared" si="168"/>
        <v>0</v>
      </c>
      <c r="DW85" s="14">
        <f t="shared" si="168"/>
        <v>0</v>
      </c>
      <c r="DX85" s="14">
        <f t="shared" si="168"/>
        <v>0</v>
      </c>
      <c r="DY85" s="14">
        <f t="shared" si="168"/>
        <v>0</v>
      </c>
      <c r="DZ85" s="14">
        <f t="shared" si="168"/>
        <v>0</v>
      </c>
      <c r="EA85" s="14">
        <f t="shared" si="168"/>
        <v>0</v>
      </c>
      <c r="EB85" s="14">
        <f t="shared" si="168"/>
        <v>0</v>
      </c>
      <c r="EC85" s="14">
        <f t="shared" si="168"/>
        <v>0</v>
      </c>
      <c r="ED85" s="14">
        <f aca="true" t="shared" si="169" ref="ED85:GO85">EC86</f>
        <v>0</v>
      </c>
      <c r="EE85" s="14">
        <f>ED86+9.4+4</f>
        <v>13.4</v>
      </c>
      <c r="EF85" s="14">
        <f t="shared" si="169"/>
        <v>13.4</v>
      </c>
      <c r="EG85" s="14">
        <f t="shared" si="169"/>
        <v>4</v>
      </c>
      <c r="EH85" s="14">
        <f t="shared" si="169"/>
        <v>4</v>
      </c>
      <c r="EI85" s="15">
        <f>EH86+4.8+2.6</f>
        <v>3.9999999999999996</v>
      </c>
      <c r="EJ85" s="14">
        <f t="shared" si="169"/>
        <v>0</v>
      </c>
      <c r="EK85" s="14">
        <f t="shared" si="169"/>
        <v>0</v>
      </c>
      <c r="EL85" s="14">
        <f t="shared" si="169"/>
        <v>0</v>
      </c>
      <c r="EM85" s="14">
        <f t="shared" si="169"/>
        <v>0</v>
      </c>
      <c r="EN85" s="14">
        <f t="shared" si="169"/>
        <v>0</v>
      </c>
      <c r="EO85" s="14">
        <f t="shared" si="169"/>
        <v>0</v>
      </c>
      <c r="EP85" s="14">
        <f t="shared" si="169"/>
        <v>0</v>
      </c>
      <c r="EQ85" s="14">
        <f t="shared" si="169"/>
        <v>0</v>
      </c>
      <c r="ER85" s="14">
        <f>EQ86</f>
        <v>0</v>
      </c>
      <c r="ES85" s="14">
        <f>ER86</f>
        <v>0</v>
      </c>
      <c r="ET85" s="14">
        <f>ES86</f>
        <v>0</v>
      </c>
      <c r="EU85" s="14">
        <f t="shared" si="169"/>
        <v>0</v>
      </c>
      <c r="EV85" s="14">
        <f t="shared" si="169"/>
        <v>0</v>
      </c>
      <c r="EW85" s="14">
        <f t="shared" si="169"/>
        <v>0</v>
      </c>
      <c r="EX85" s="14">
        <f t="shared" si="169"/>
        <v>0</v>
      </c>
      <c r="EY85" s="14">
        <f t="shared" si="169"/>
        <v>0</v>
      </c>
      <c r="EZ85" s="14">
        <f>EY86+2+2.8+4.8</f>
        <v>9.6</v>
      </c>
      <c r="FA85" s="14">
        <f t="shared" si="169"/>
        <v>9.6</v>
      </c>
      <c r="FB85" s="14">
        <f t="shared" si="169"/>
        <v>9.6</v>
      </c>
      <c r="FC85" s="14">
        <f>FB86+9.3</f>
        <v>18.9</v>
      </c>
      <c r="FD85" s="14">
        <f t="shared" si="169"/>
        <v>18.9</v>
      </c>
      <c r="FE85" s="14">
        <f t="shared" si="169"/>
        <v>0</v>
      </c>
      <c r="FF85" s="14">
        <f t="shared" si="169"/>
        <v>0</v>
      </c>
      <c r="FG85" s="14">
        <f t="shared" si="169"/>
        <v>0</v>
      </c>
      <c r="FH85" s="14">
        <f t="shared" si="169"/>
        <v>0</v>
      </c>
      <c r="FI85" s="14">
        <f t="shared" si="169"/>
        <v>0</v>
      </c>
      <c r="FJ85" s="14">
        <f t="shared" si="169"/>
        <v>0</v>
      </c>
      <c r="FK85" s="14">
        <f t="shared" si="169"/>
        <v>0</v>
      </c>
      <c r="FL85" s="14">
        <f t="shared" si="169"/>
        <v>0</v>
      </c>
      <c r="FM85" s="14">
        <f t="shared" si="169"/>
        <v>0</v>
      </c>
      <c r="FN85" s="14">
        <f t="shared" si="169"/>
        <v>0</v>
      </c>
      <c r="FO85" s="14">
        <f t="shared" si="169"/>
        <v>0</v>
      </c>
      <c r="FP85" s="14">
        <f t="shared" si="169"/>
        <v>0</v>
      </c>
      <c r="FQ85" s="14">
        <f t="shared" si="169"/>
        <v>0</v>
      </c>
      <c r="FR85" s="14">
        <f t="shared" si="169"/>
        <v>0</v>
      </c>
      <c r="FS85" s="14">
        <f t="shared" si="169"/>
        <v>0</v>
      </c>
      <c r="FT85" s="14">
        <f t="shared" si="169"/>
        <v>0</v>
      </c>
      <c r="FU85" s="14">
        <f t="shared" si="169"/>
        <v>0</v>
      </c>
      <c r="FV85" s="14">
        <f t="shared" si="169"/>
        <v>0</v>
      </c>
      <c r="FW85" s="14">
        <f t="shared" si="169"/>
        <v>0</v>
      </c>
      <c r="FX85" s="14">
        <f t="shared" si="169"/>
        <v>0</v>
      </c>
      <c r="FY85" s="14">
        <f t="shared" si="169"/>
        <v>0</v>
      </c>
      <c r="FZ85" s="14">
        <f t="shared" si="169"/>
        <v>0</v>
      </c>
      <c r="GA85" s="14">
        <f t="shared" si="169"/>
        <v>0</v>
      </c>
      <c r="GB85" s="14">
        <f t="shared" si="169"/>
        <v>0</v>
      </c>
      <c r="GC85" s="14">
        <f t="shared" si="169"/>
        <v>0</v>
      </c>
      <c r="GD85" s="14">
        <f t="shared" si="169"/>
        <v>0</v>
      </c>
      <c r="GE85" s="14">
        <f t="shared" si="169"/>
        <v>0</v>
      </c>
      <c r="GF85" s="14">
        <f t="shared" si="169"/>
        <v>0</v>
      </c>
      <c r="GG85" s="14">
        <f t="shared" si="169"/>
        <v>0</v>
      </c>
      <c r="GH85" s="14">
        <f t="shared" si="169"/>
        <v>0</v>
      </c>
      <c r="GI85" s="14">
        <f t="shared" si="169"/>
        <v>0</v>
      </c>
      <c r="GJ85" s="14">
        <f t="shared" si="169"/>
        <v>0</v>
      </c>
      <c r="GK85" s="14">
        <f t="shared" si="169"/>
        <v>0</v>
      </c>
      <c r="GL85" s="14">
        <f t="shared" si="169"/>
        <v>0</v>
      </c>
      <c r="GM85" s="14">
        <f t="shared" si="169"/>
        <v>0</v>
      </c>
      <c r="GN85" s="14">
        <f t="shared" si="169"/>
        <v>0</v>
      </c>
      <c r="GO85" s="14">
        <f t="shared" si="169"/>
        <v>0</v>
      </c>
    </row>
    <row r="86" spans="1:197" ht="15">
      <c r="A86" s="4"/>
      <c r="B86" s="4"/>
      <c r="C86" s="12" t="s">
        <v>218</v>
      </c>
      <c r="D86" s="16">
        <f>D85-D84</f>
        <v>15.3</v>
      </c>
      <c r="E86" s="16">
        <f>E85-E84</f>
        <v>15.3</v>
      </c>
      <c r="F86" s="16">
        <f aca="true" t="shared" si="170" ref="F86:BQ86">F85-F84</f>
        <v>10.700000000000001</v>
      </c>
      <c r="G86" s="16">
        <f t="shared" si="170"/>
        <v>5.800000000000001</v>
      </c>
      <c r="H86" s="16">
        <f t="shared" si="170"/>
        <v>0</v>
      </c>
      <c r="I86" s="16">
        <f t="shared" si="170"/>
        <v>0</v>
      </c>
      <c r="J86" s="16">
        <f t="shared" si="170"/>
        <v>0</v>
      </c>
      <c r="K86" s="16">
        <f t="shared" si="170"/>
        <v>0</v>
      </c>
      <c r="L86" s="16">
        <f t="shared" si="170"/>
        <v>0</v>
      </c>
      <c r="M86" s="16">
        <f t="shared" si="170"/>
        <v>0</v>
      </c>
      <c r="N86" s="16">
        <f t="shared" si="170"/>
        <v>0</v>
      </c>
      <c r="O86" s="17">
        <f t="shared" si="170"/>
        <v>0</v>
      </c>
      <c r="P86" s="16">
        <f t="shared" si="170"/>
        <v>0</v>
      </c>
      <c r="Q86" s="16">
        <f t="shared" si="170"/>
        <v>0</v>
      </c>
      <c r="R86" s="16">
        <f t="shared" si="170"/>
        <v>0</v>
      </c>
      <c r="S86" s="16">
        <f t="shared" si="170"/>
        <v>0</v>
      </c>
      <c r="T86" s="16">
        <f t="shared" si="170"/>
        <v>0</v>
      </c>
      <c r="U86" s="16">
        <f t="shared" si="170"/>
        <v>0</v>
      </c>
      <c r="V86" s="16">
        <f t="shared" si="170"/>
        <v>0</v>
      </c>
      <c r="W86" s="16">
        <f t="shared" si="170"/>
        <v>0</v>
      </c>
      <c r="X86" s="17">
        <f t="shared" si="170"/>
        <v>0</v>
      </c>
      <c r="Y86" s="16">
        <f t="shared" si="170"/>
        <v>10.6</v>
      </c>
      <c r="Z86" s="16">
        <f t="shared" si="170"/>
        <v>10.6</v>
      </c>
      <c r="AA86" s="16">
        <f t="shared" si="170"/>
        <v>10.6</v>
      </c>
      <c r="AB86" s="16">
        <f t="shared" si="170"/>
        <v>10.6</v>
      </c>
      <c r="AC86" s="16">
        <f t="shared" si="170"/>
        <v>10.6</v>
      </c>
      <c r="AD86" s="16">
        <f t="shared" si="170"/>
        <v>10.6</v>
      </c>
      <c r="AE86" s="16">
        <f t="shared" si="170"/>
        <v>15.7</v>
      </c>
      <c r="AF86" s="16">
        <f t="shared" si="170"/>
        <v>15.7</v>
      </c>
      <c r="AG86" s="16">
        <f t="shared" si="170"/>
        <v>10.7</v>
      </c>
      <c r="AH86" s="16">
        <f t="shared" si="170"/>
        <v>10.7</v>
      </c>
      <c r="AI86" s="16">
        <f t="shared" si="170"/>
        <v>10.7</v>
      </c>
      <c r="AJ86" s="16">
        <f t="shared" si="170"/>
        <v>0</v>
      </c>
      <c r="AK86" s="16">
        <f t="shared" si="170"/>
        <v>0</v>
      </c>
      <c r="AL86" s="16">
        <f t="shared" si="170"/>
        <v>0</v>
      </c>
      <c r="AM86" s="16">
        <f t="shared" si="170"/>
        <v>0</v>
      </c>
      <c r="AN86" s="16">
        <f t="shared" si="170"/>
        <v>0</v>
      </c>
      <c r="AO86" s="16">
        <f t="shared" si="170"/>
        <v>0</v>
      </c>
      <c r="AP86" s="16">
        <f t="shared" si="170"/>
        <v>0</v>
      </c>
      <c r="AQ86" s="16">
        <f t="shared" si="170"/>
        <v>0</v>
      </c>
      <c r="AR86" s="16">
        <f t="shared" si="170"/>
        <v>0</v>
      </c>
      <c r="AS86" s="16">
        <f t="shared" si="170"/>
        <v>0</v>
      </c>
      <c r="AT86" s="16">
        <f t="shared" si="170"/>
        <v>0</v>
      </c>
      <c r="AU86" s="16">
        <f t="shared" si="170"/>
        <v>0</v>
      </c>
      <c r="AV86" s="16">
        <f t="shared" si="170"/>
        <v>0</v>
      </c>
      <c r="AW86" s="16">
        <f t="shared" si="170"/>
        <v>0</v>
      </c>
      <c r="AX86" s="16">
        <f t="shared" si="170"/>
        <v>0</v>
      </c>
      <c r="AY86" s="16">
        <f t="shared" si="170"/>
        <v>0</v>
      </c>
      <c r="AZ86" s="16">
        <f t="shared" si="170"/>
        <v>0</v>
      </c>
      <c r="BA86" s="16">
        <f t="shared" si="170"/>
        <v>0</v>
      </c>
      <c r="BB86" s="16">
        <f t="shared" si="170"/>
        <v>11.5</v>
      </c>
      <c r="BC86" s="16">
        <f t="shared" si="170"/>
        <v>11.5</v>
      </c>
      <c r="BD86" s="16">
        <f t="shared" si="170"/>
        <v>11.5</v>
      </c>
      <c r="BE86" s="16">
        <f t="shared" si="170"/>
        <v>11.5</v>
      </c>
      <c r="BF86" s="16">
        <f t="shared" si="170"/>
        <v>11.5</v>
      </c>
      <c r="BG86" s="16">
        <f t="shared" si="170"/>
        <v>11.5</v>
      </c>
      <c r="BH86" s="16">
        <f t="shared" si="170"/>
        <v>0</v>
      </c>
      <c r="BI86" s="16">
        <f t="shared" si="170"/>
        <v>0</v>
      </c>
      <c r="BJ86" s="16">
        <f t="shared" si="170"/>
        <v>0</v>
      </c>
      <c r="BK86" s="16">
        <f t="shared" si="170"/>
        <v>5.9</v>
      </c>
      <c r="BL86" s="16">
        <f t="shared" si="170"/>
        <v>5.9</v>
      </c>
      <c r="BM86" s="16">
        <f t="shared" si="170"/>
        <v>5.9</v>
      </c>
      <c r="BN86" s="16">
        <f t="shared" si="170"/>
        <v>5.9</v>
      </c>
      <c r="BO86" s="16">
        <f t="shared" si="170"/>
        <v>5.9</v>
      </c>
      <c r="BP86" s="16">
        <f t="shared" si="170"/>
        <v>5.9</v>
      </c>
      <c r="BQ86" s="16">
        <f t="shared" si="170"/>
        <v>0</v>
      </c>
      <c r="BR86" s="16">
        <f aca="true" t="shared" si="171" ref="BR86:EC86">BR85-BR84</f>
        <v>0</v>
      </c>
      <c r="BS86" s="16">
        <f t="shared" si="171"/>
        <v>0</v>
      </c>
      <c r="BT86" s="27">
        <f t="shared" si="171"/>
        <v>0</v>
      </c>
      <c r="BU86" s="27">
        <f t="shared" si="171"/>
        <v>0</v>
      </c>
      <c r="BV86" s="27">
        <f t="shared" si="171"/>
        <v>0</v>
      </c>
      <c r="BW86" s="16">
        <f t="shared" si="171"/>
        <v>0</v>
      </c>
      <c r="BX86" s="16">
        <f t="shared" si="171"/>
        <v>0</v>
      </c>
      <c r="BY86" s="16">
        <f t="shared" si="171"/>
        <v>0</v>
      </c>
      <c r="BZ86" s="16">
        <f t="shared" si="171"/>
        <v>0</v>
      </c>
      <c r="CA86" s="16">
        <f t="shared" si="171"/>
        <v>0</v>
      </c>
      <c r="CB86" s="16">
        <f t="shared" si="171"/>
        <v>0</v>
      </c>
      <c r="CC86" s="16">
        <f t="shared" si="171"/>
        <v>0</v>
      </c>
      <c r="CD86" s="16">
        <f t="shared" si="171"/>
        <v>0</v>
      </c>
      <c r="CE86" s="16">
        <f t="shared" si="171"/>
        <v>0</v>
      </c>
      <c r="CF86" s="16">
        <f t="shared" si="171"/>
        <v>0</v>
      </c>
      <c r="CG86" s="16">
        <f t="shared" si="171"/>
        <v>11.2</v>
      </c>
      <c r="CH86" s="16">
        <f t="shared" si="171"/>
        <v>0</v>
      </c>
      <c r="CI86" s="16">
        <f t="shared" si="171"/>
        <v>0</v>
      </c>
      <c r="CJ86" s="16">
        <f t="shared" si="171"/>
        <v>0</v>
      </c>
      <c r="CK86" s="16">
        <f t="shared" si="171"/>
        <v>0</v>
      </c>
      <c r="CL86" s="16">
        <f t="shared" si="171"/>
        <v>0</v>
      </c>
      <c r="CM86" s="16">
        <f t="shared" si="171"/>
        <v>0</v>
      </c>
      <c r="CN86" s="16">
        <f t="shared" si="171"/>
        <v>0</v>
      </c>
      <c r="CO86" s="16">
        <f t="shared" si="171"/>
        <v>14.8</v>
      </c>
      <c r="CP86" s="16">
        <f t="shared" si="171"/>
        <v>14.8</v>
      </c>
      <c r="CQ86" s="16">
        <f t="shared" si="171"/>
        <v>9.8</v>
      </c>
      <c r="CR86" s="16">
        <f t="shared" si="171"/>
        <v>14.8</v>
      </c>
      <c r="CS86" s="16">
        <f t="shared" si="171"/>
        <v>14.8</v>
      </c>
      <c r="CT86" s="16">
        <f t="shared" si="171"/>
        <v>14.8</v>
      </c>
      <c r="CU86" s="16">
        <f t="shared" si="171"/>
        <v>14.8</v>
      </c>
      <c r="CV86" s="16">
        <f t="shared" si="171"/>
        <v>14.8</v>
      </c>
      <c r="CW86" s="16">
        <f t="shared" si="171"/>
        <v>14.8</v>
      </c>
      <c r="CX86" s="16">
        <f t="shared" si="171"/>
        <v>14.8</v>
      </c>
      <c r="CY86" s="16">
        <f t="shared" si="171"/>
        <v>14.8</v>
      </c>
      <c r="CZ86" s="16">
        <f t="shared" si="171"/>
        <v>14.8</v>
      </c>
      <c r="DA86" s="16">
        <f t="shared" si="171"/>
        <v>14.8</v>
      </c>
      <c r="DB86" s="16">
        <f t="shared" si="171"/>
        <v>14.8</v>
      </c>
      <c r="DC86" s="16">
        <f t="shared" si="171"/>
        <v>14.8</v>
      </c>
      <c r="DD86" s="16">
        <f t="shared" si="171"/>
        <v>14.8</v>
      </c>
      <c r="DE86" s="16">
        <f t="shared" si="171"/>
        <v>14.8</v>
      </c>
      <c r="DF86" s="16">
        <f t="shared" si="171"/>
        <v>7.1000000000000005</v>
      </c>
      <c r="DG86" s="16">
        <f t="shared" si="171"/>
        <v>7.1000000000000005</v>
      </c>
      <c r="DH86" s="16">
        <f t="shared" si="171"/>
        <v>7.1000000000000005</v>
      </c>
      <c r="DI86" s="16">
        <f t="shared" si="171"/>
        <v>7.1000000000000005</v>
      </c>
      <c r="DJ86" s="16">
        <f t="shared" si="171"/>
        <v>0</v>
      </c>
      <c r="DK86" s="16">
        <f t="shared" si="171"/>
        <v>0</v>
      </c>
      <c r="DL86" s="16">
        <f t="shared" si="171"/>
        <v>0</v>
      </c>
      <c r="DM86" s="16">
        <f t="shared" si="171"/>
        <v>0</v>
      </c>
      <c r="DN86" s="16">
        <f t="shared" si="171"/>
        <v>0</v>
      </c>
      <c r="DO86" s="16">
        <f t="shared" si="171"/>
        <v>0</v>
      </c>
      <c r="DP86" s="17">
        <f t="shared" si="171"/>
        <v>0</v>
      </c>
      <c r="DQ86" s="17">
        <f t="shared" si="171"/>
        <v>0</v>
      </c>
      <c r="DR86" s="17">
        <f t="shared" si="171"/>
        <v>0</v>
      </c>
      <c r="DS86" s="17">
        <f t="shared" si="171"/>
        <v>0</v>
      </c>
      <c r="DT86" s="17">
        <f t="shared" si="171"/>
        <v>0</v>
      </c>
      <c r="DU86" s="16">
        <f t="shared" si="171"/>
        <v>0</v>
      </c>
      <c r="DV86" s="16">
        <f t="shared" si="171"/>
        <v>0</v>
      </c>
      <c r="DW86" s="16">
        <f t="shared" si="171"/>
        <v>0</v>
      </c>
      <c r="DX86" s="16">
        <f t="shared" si="171"/>
        <v>0</v>
      </c>
      <c r="DY86" s="16">
        <f t="shared" si="171"/>
        <v>0</v>
      </c>
      <c r="DZ86" s="16">
        <f t="shared" si="171"/>
        <v>0</v>
      </c>
      <c r="EA86" s="16">
        <f t="shared" si="171"/>
        <v>0</v>
      </c>
      <c r="EB86" s="16">
        <f t="shared" si="171"/>
        <v>0</v>
      </c>
      <c r="EC86" s="16">
        <f t="shared" si="171"/>
        <v>0</v>
      </c>
      <c r="ED86" s="16">
        <f aca="true" t="shared" si="172" ref="ED86:GO86">ED85-ED84</f>
        <v>0</v>
      </c>
      <c r="EE86" s="16">
        <f t="shared" si="172"/>
        <v>13.4</v>
      </c>
      <c r="EF86" s="16">
        <f t="shared" si="172"/>
        <v>4</v>
      </c>
      <c r="EG86" s="16">
        <f t="shared" si="172"/>
        <v>4</v>
      </c>
      <c r="EH86" s="16">
        <f t="shared" si="172"/>
        <v>-3.4000000000000004</v>
      </c>
      <c r="EI86" s="16">
        <f t="shared" si="172"/>
        <v>0</v>
      </c>
      <c r="EJ86" s="16">
        <f t="shared" si="172"/>
        <v>0</v>
      </c>
      <c r="EK86" s="16">
        <f t="shared" si="172"/>
        <v>0</v>
      </c>
      <c r="EL86" s="16">
        <f t="shared" si="172"/>
        <v>0</v>
      </c>
      <c r="EM86" s="16">
        <f t="shared" si="172"/>
        <v>0</v>
      </c>
      <c r="EN86" s="16">
        <f t="shared" si="172"/>
        <v>0</v>
      </c>
      <c r="EO86" s="16">
        <f t="shared" si="172"/>
        <v>0</v>
      </c>
      <c r="EP86" s="16">
        <f t="shared" si="172"/>
        <v>0</v>
      </c>
      <c r="EQ86" s="16">
        <f t="shared" si="172"/>
        <v>0</v>
      </c>
      <c r="ER86" s="16">
        <f t="shared" si="172"/>
        <v>0</v>
      </c>
      <c r="ES86" s="16">
        <f t="shared" si="172"/>
        <v>0</v>
      </c>
      <c r="ET86" s="16">
        <f t="shared" si="172"/>
        <v>0</v>
      </c>
      <c r="EU86" s="16">
        <f t="shared" si="172"/>
        <v>0</v>
      </c>
      <c r="EV86" s="16">
        <f t="shared" si="172"/>
        <v>0</v>
      </c>
      <c r="EW86" s="16">
        <f t="shared" si="172"/>
        <v>0</v>
      </c>
      <c r="EX86" s="16">
        <f t="shared" si="172"/>
        <v>0</v>
      </c>
      <c r="EY86" s="16">
        <f t="shared" si="172"/>
        <v>0</v>
      </c>
      <c r="EZ86" s="16">
        <f t="shared" si="172"/>
        <v>9.6</v>
      </c>
      <c r="FA86" s="16">
        <f t="shared" si="172"/>
        <v>9.6</v>
      </c>
      <c r="FB86" s="16">
        <f t="shared" si="172"/>
        <v>9.6</v>
      </c>
      <c r="FC86" s="16">
        <f t="shared" si="172"/>
        <v>18.9</v>
      </c>
      <c r="FD86" s="16">
        <f t="shared" si="172"/>
        <v>0</v>
      </c>
      <c r="FE86" s="16">
        <f t="shared" si="172"/>
        <v>0</v>
      </c>
      <c r="FF86" s="16">
        <f t="shared" si="172"/>
        <v>0</v>
      </c>
      <c r="FG86" s="16">
        <f t="shared" si="172"/>
        <v>0</v>
      </c>
      <c r="FH86" s="16">
        <f t="shared" si="172"/>
        <v>0</v>
      </c>
      <c r="FI86" s="16">
        <f t="shared" si="172"/>
        <v>0</v>
      </c>
      <c r="FJ86" s="16">
        <f t="shared" si="172"/>
        <v>0</v>
      </c>
      <c r="FK86" s="16">
        <f t="shared" si="172"/>
        <v>0</v>
      </c>
      <c r="FL86" s="16">
        <f t="shared" si="172"/>
        <v>0</v>
      </c>
      <c r="FM86" s="16">
        <f t="shared" si="172"/>
        <v>0</v>
      </c>
      <c r="FN86" s="16">
        <f t="shared" si="172"/>
        <v>0</v>
      </c>
      <c r="FO86" s="16">
        <f t="shared" si="172"/>
        <v>0</v>
      </c>
      <c r="FP86" s="16">
        <f t="shared" si="172"/>
        <v>0</v>
      </c>
      <c r="FQ86" s="16">
        <f t="shared" si="172"/>
        <v>0</v>
      </c>
      <c r="FR86" s="16">
        <f t="shared" si="172"/>
        <v>0</v>
      </c>
      <c r="FS86" s="16">
        <f t="shared" si="172"/>
        <v>0</v>
      </c>
      <c r="FT86" s="16">
        <f t="shared" si="172"/>
        <v>0</v>
      </c>
      <c r="FU86" s="16">
        <f t="shared" si="172"/>
        <v>0</v>
      </c>
      <c r="FV86" s="16">
        <f t="shared" si="172"/>
        <v>0</v>
      </c>
      <c r="FW86" s="16">
        <f t="shared" si="172"/>
        <v>0</v>
      </c>
      <c r="FX86" s="16">
        <f t="shared" si="172"/>
        <v>0</v>
      </c>
      <c r="FY86" s="16">
        <f t="shared" si="172"/>
        <v>0</v>
      </c>
      <c r="FZ86" s="16">
        <f t="shared" si="172"/>
        <v>0</v>
      </c>
      <c r="GA86" s="16">
        <f t="shared" si="172"/>
        <v>0</v>
      </c>
      <c r="GB86" s="16">
        <f t="shared" si="172"/>
        <v>0</v>
      </c>
      <c r="GC86" s="16">
        <f t="shared" si="172"/>
        <v>0</v>
      </c>
      <c r="GD86" s="16">
        <f t="shared" si="172"/>
        <v>0</v>
      </c>
      <c r="GE86" s="16">
        <f t="shared" si="172"/>
        <v>0</v>
      </c>
      <c r="GF86" s="16">
        <f t="shared" si="172"/>
        <v>0</v>
      </c>
      <c r="GG86" s="16">
        <f t="shared" si="172"/>
        <v>0</v>
      </c>
      <c r="GH86" s="16">
        <f t="shared" si="172"/>
        <v>0</v>
      </c>
      <c r="GI86" s="16">
        <f t="shared" si="172"/>
        <v>0</v>
      </c>
      <c r="GJ86" s="16">
        <f t="shared" si="172"/>
        <v>0</v>
      </c>
      <c r="GK86" s="16">
        <f t="shared" si="172"/>
        <v>0</v>
      </c>
      <c r="GL86" s="16">
        <f t="shared" si="172"/>
        <v>0</v>
      </c>
      <c r="GM86" s="16">
        <f t="shared" si="172"/>
        <v>0</v>
      </c>
      <c r="GN86" s="16">
        <f t="shared" si="172"/>
        <v>0</v>
      </c>
      <c r="GO86" s="16">
        <f t="shared" si="172"/>
        <v>0</v>
      </c>
    </row>
    <row r="87" spans="1:256" s="9" customFormat="1" ht="15">
      <c r="A87" s="4" t="s">
        <v>249</v>
      </c>
      <c r="B87" s="4"/>
      <c r="C87" s="12" t="s">
        <v>216</v>
      </c>
      <c r="O87" s="29"/>
      <c r="R87" s="9">
        <v>180</v>
      </c>
      <c r="S87" s="9">
        <v>65</v>
      </c>
      <c r="X87" s="29"/>
      <c r="AE87" s="19">
        <v>100</v>
      </c>
      <c r="AF87" s="19">
        <v>40</v>
      </c>
      <c r="BS87" s="19">
        <v>180</v>
      </c>
      <c r="BT87" s="19">
        <v>65</v>
      </c>
      <c r="BU87" s="31"/>
      <c r="BV87" s="31"/>
      <c r="CE87" s="19">
        <v>25</v>
      </c>
      <c r="CF87" s="19">
        <v>80</v>
      </c>
      <c r="CG87" s="19">
        <v>20</v>
      </c>
      <c r="CS87" s="19">
        <v>180</v>
      </c>
      <c r="CT87" s="19">
        <v>65</v>
      </c>
      <c r="DF87" s="19">
        <v>90</v>
      </c>
      <c r="DG87" s="19">
        <v>20</v>
      </c>
      <c r="DH87" s="19">
        <v>15</v>
      </c>
      <c r="DP87" s="29"/>
      <c r="DQ87" s="29"/>
      <c r="DR87" s="29"/>
      <c r="DS87" s="19">
        <v>180</v>
      </c>
      <c r="DT87" s="19">
        <v>65</v>
      </c>
      <c r="EG87" s="9">
        <v>120</v>
      </c>
      <c r="ES87" s="19">
        <v>180</v>
      </c>
      <c r="ET87" s="19">
        <v>65</v>
      </c>
      <c r="FF87" s="19">
        <v>85</v>
      </c>
      <c r="FG87" s="19">
        <v>40</v>
      </c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197" ht="15">
      <c r="A88" s="4"/>
      <c r="B88" s="4"/>
      <c r="C88" s="12" t="s">
        <v>217</v>
      </c>
      <c r="D88" s="14">
        <v>0</v>
      </c>
      <c r="E88" s="14">
        <f>D89</f>
        <v>0</v>
      </c>
      <c r="F88" s="14">
        <f aca="true" t="shared" si="173" ref="F88:BQ88">E89</f>
        <v>0</v>
      </c>
      <c r="G88" s="14">
        <f t="shared" si="173"/>
        <v>0</v>
      </c>
      <c r="H88" s="14">
        <f t="shared" si="173"/>
        <v>0</v>
      </c>
      <c r="I88" s="14">
        <f t="shared" si="173"/>
        <v>0</v>
      </c>
      <c r="J88" s="14">
        <f t="shared" si="173"/>
        <v>0</v>
      </c>
      <c r="K88" s="14">
        <f t="shared" si="173"/>
        <v>0</v>
      </c>
      <c r="L88" s="14">
        <f t="shared" si="173"/>
        <v>0</v>
      </c>
      <c r="M88" s="14">
        <f t="shared" si="173"/>
        <v>0</v>
      </c>
      <c r="N88" s="14">
        <f t="shared" si="173"/>
        <v>0</v>
      </c>
      <c r="O88" s="15">
        <f t="shared" si="173"/>
        <v>0</v>
      </c>
      <c r="P88" s="14">
        <f t="shared" si="173"/>
        <v>0</v>
      </c>
      <c r="Q88" s="14">
        <f t="shared" si="173"/>
        <v>0</v>
      </c>
      <c r="R88" s="14">
        <f>Q89+245</f>
        <v>245</v>
      </c>
      <c r="S88" s="14">
        <f t="shared" si="173"/>
        <v>65</v>
      </c>
      <c r="T88" s="14">
        <f t="shared" si="173"/>
        <v>0</v>
      </c>
      <c r="U88" s="14">
        <f t="shared" si="173"/>
        <v>0</v>
      </c>
      <c r="V88" s="14">
        <f t="shared" si="173"/>
        <v>0</v>
      </c>
      <c r="W88" s="14">
        <f t="shared" si="173"/>
        <v>0</v>
      </c>
      <c r="X88" s="15">
        <f t="shared" si="173"/>
        <v>0</v>
      </c>
      <c r="Y88" s="14">
        <f t="shared" si="173"/>
        <v>0</v>
      </c>
      <c r="Z88" s="14">
        <f t="shared" si="173"/>
        <v>0</v>
      </c>
      <c r="AA88" s="14">
        <f t="shared" si="173"/>
        <v>0</v>
      </c>
      <c r="AB88" s="14">
        <f t="shared" si="173"/>
        <v>0</v>
      </c>
      <c r="AC88" s="14">
        <f t="shared" si="173"/>
        <v>0</v>
      </c>
      <c r="AD88" s="14">
        <f t="shared" si="173"/>
        <v>0</v>
      </c>
      <c r="AE88" s="14">
        <f>AD89+140</f>
        <v>140</v>
      </c>
      <c r="AF88" s="14">
        <f t="shared" si="173"/>
        <v>40</v>
      </c>
      <c r="AG88" s="14">
        <f t="shared" si="173"/>
        <v>0</v>
      </c>
      <c r="AH88" s="14">
        <f t="shared" si="173"/>
        <v>0</v>
      </c>
      <c r="AI88" s="14">
        <f t="shared" si="173"/>
        <v>0</v>
      </c>
      <c r="AJ88" s="14">
        <f t="shared" si="173"/>
        <v>0</v>
      </c>
      <c r="AK88" s="14">
        <f t="shared" si="173"/>
        <v>0</v>
      </c>
      <c r="AL88" s="14">
        <f t="shared" si="173"/>
        <v>0</v>
      </c>
      <c r="AM88" s="14">
        <f t="shared" si="173"/>
        <v>0</v>
      </c>
      <c r="AN88" s="14">
        <f t="shared" si="173"/>
        <v>0</v>
      </c>
      <c r="AO88" s="14">
        <f t="shared" si="173"/>
        <v>0</v>
      </c>
      <c r="AP88" s="14">
        <f t="shared" si="173"/>
        <v>0</v>
      </c>
      <c r="AQ88" s="14">
        <f t="shared" si="173"/>
        <v>0</v>
      </c>
      <c r="AR88" s="14">
        <f t="shared" si="173"/>
        <v>0</v>
      </c>
      <c r="AS88" s="14">
        <f t="shared" si="173"/>
        <v>0</v>
      </c>
      <c r="AT88" s="14">
        <f t="shared" si="173"/>
        <v>0</v>
      </c>
      <c r="AU88" s="14">
        <f t="shared" si="173"/>
        <v>0</v>
      </c>
      <c r="AV88" s="14">
        <f t="shared" si="173"/>
        <v>0</v>
      </c>
      <c r="AW88" s="14">
        <f t="shared" si="173"/>
        <v>0</v>
      </c>
      <c r="AX88" s="14">
        <f t="shared" si="173"/>
        <v>0</v>
      </c>
      <c r="AY88" s="14">
        <f t="shared" si="173"/>
        <v>0</v>
      </c>
      <c r="AZ88" s="14">
        <f t="shared" si="173"/>
        <v>0</v>
      </c>
      <c r="BA88" s="14">
        <f t="shared" si="173"/>
        <v>0</v>
      </c>
      <c r="BB88" s="14">
        <f t="shared" si="173"/>
        <v>0</v>
      </c>
      <c r="BC88" s="14">
        <f t="shared" si="173"/>
        <v>0</v>
      </c>
      <c r="BD88" s="14">
        <f t="shared" si="173"/>
        <v>0</v>
      </c>
      <c r="BE88" s="14">
        <f t="shared" si="173"/>
        <v>0</v>
      </c>
      <c r="BF88" s="14">
        <f t="shared" si="173"/>
        <v>0</v>
      </c>
      <c r="BG88" s="14">
        <f t="shared" si="173"/>
        <v>0</v>
      </c>
      <c r="BH88" s="14">
        <f t="shared" si="173"/>
        <v>0</v>
      </c>
      <c r="BI88" s="14">
        <f t="shared" si="173"/>
        <v>0</v>
      </c>
      <c r="BJ88" s="14">
        <f t="shared" si="173"/>
        <v>0</v>
      </c>
      <c r="BK88" s="14">
        <f t="shared" si="173"/>
        <v>0</v>
      </c>
      <c r="BL88" s="14">
        <f t="shared" si="173"/>
        <v>0</v>
      </c>
      <c r="BM88" s="14">
        <f t="shared" si="173"/>
        <v>0</v>
      </c>
      <c r="BN88" s="14">
        <f t="shared" si="173"/>
        <v>0</v>
      </c>
      <c r="BO88" s="14">
        <f t="shared" si="173"/>
        <v>0</v>
      </c>
      <c r="BP88" s="14">
        <f t="shared" si="173"/>
        <v>0</v>
      </c>
      <c r="BQ88" s="14">
        <f t="shared" si="173"/>
        <v>0</v>
      </c>
      <c r="BR88" s="14">
        <f aca="true" t="shared" si="174" ref="BR88:EC88">BQ89</f>
        <v>0</v>
      </c>
      <c r="BS88" s="14">
        <f>BR89+245</f>
        <v>245</v>
      </c>
      <c r="BT88" s="26">
        <f t="shared" si="174"/>
        <v>65</v>
      </c>
      <c r="BU88" s="26">
        <f t="shared" si="174"/>
        <v>0</v>
      </c>
      <c r="BV88" s="26">
        <f t="shared" si="174"/>
        <v>0</v>
      </c>
      <c r="BW88" s="14">
        <f t="shared" si="174"/>
        <v>0</v>
      </c>
      <c r="BX88" s="14">
        <f t="shared" si="174"/>
        <v>0</v>
      </c>
      <c r="BY88" s="14">
        <f t="shared" si="174"/>
        <v>0</v>
      </c>
      <c r="BZ88" s="14">
        <f t="shared" si="174"/>
        <v>0</v>
      </c>
      <c r="CA88" s="14">
        <f t="shared" si="174"/>
        <v>0</v>
      </c>
      <c r="CB88" s="14">
        <f t="shared" si="174"/>
        <v>0</v>
      </c>
      <c r="CC88" s="14">
        <f t="shared" si="174"/>
        <v>0</v>
      </c>
      <c r="CD88" s="14">
        <f t="shared" si="174"/>
        <v>0</v>
      </c>
      <c r="CE88" s="14">
        <f t="shared" si="174"/>
        <v>0</v>
      </c>
      <c r="CF88" s="14">
        <f>CE89+125</f>
        <v>100</v>
      </c>
      <c r="CG88" s="14">
        <f t="shared" si="174"/>
        <v>20</v>
      </c>
      <c r="CH88" s="14">
        <f t="shared" si="174"/>
        <v>0</v>
      </c>
      <c r="CI88" s="14">
        <f t="shared" si="174"/>
        <v>0</v>
      </c>
      <c r="CJ88" s="14">
        <f t="shared" si="174"/>
        <v>0</v>
      </c>
      <c r="CK88" s="14">
        <f t="shared" si="174"/>
        <v>0</v>
      </c>
      <c r="CL88" s="14">
        <f t="shared" si="174"/>
        <v>0</v>
      </c>
      <c r="CM88" s="14">
        <f t="shared" si="174"/>
        <v>0</v>
      </c>
      <c r="CN88" s="14">
        <f t="shared" si="174"/>
        <v>0</v>
      </c>
      <c r="CO88" s="14">
        <f t="shared" si="174"/>
        <v>0</v>
      </c>
      <c r="CP88" s="14">
        <f t="shared" si="174"/>
        <v>0</v>
      </c>
      <c r="CQ88" s="14">
        <f t="shared" si="174"/>
        <v>0</v>
      </c>
      <c r="CR88" s="14">
        <f t="shared" si="174"/>
        <v>0</v>
      </c>
      <c r="CS88" s="14">
        <f>CR89+245</f>
        <v>245</v>
      </c>
      <c r="CT88" s="14">
        <f t="shared" si="174"/>
        <v>65</v>
      </c>
      <c r="CU88" s="14">
        <f t="shared" si="174"/>
        <v>0</v>
      </c>
      <c r="CV88" s="14">
        <f t="shared" si="174"/>
        <v>0</v>
      </c>
      <c r="CW88" s="14">
        <f t="shared" si="174"/>
        <v>0</v>
      </c>
      <c r="CX88" s="14">
        <f t="shared" si="174"/>
        <v>0</v>
      </c>
      <c r="CY88" s="14">
        <f t="shared" si="174"/>
        <v>0</v>
      </c>
      <c r="CZ88" s="14">
        <f t="shared" si="174"/>
        <v>0</v>
      </c>
      <c r="DA88" s="14">
        <f t="shared" si="174"/>
        <v>0</v>
      </c>
      <c r="DB88" s="14">
        <f t="shared" si="174"/>
        <v>0</v>
      </c>
      <c r="DC88" s="14">
        <f t="shared" si="174"/>
        <v>0</v>
      </c>
      <c r="DD88" s="14">
        <f t="shared" si="174"/>
        <v>0</v>
      </c>
      <c r="DE88" s="14">
        <f t="shared" si="174"/>
        <v>0</v>
      </c>
      <c r="DF88" s="14">
        <f>DE89+125</f>
        <v>125</v>
      </c>
      <c r="DG88" s="14">
        <f t="shared" si="174"/>
        <v>35</v>
      </c>
      <c r="DH88" s="14">
        <f t="shared" si="174"/>
        <v>15</v>
      </c>
      <c r="DI88" s="14">
        <f t="shared" si="174"/>
        <v>0</v>
      </c>
      <c r="DJ88" s="14">
        <f t="shared" si="174"/>
        <v>0</v>
      </c>
      <c r="DK88" s="14">
        <f t="shared" si="174"/>
        <v>0</v>
      </c>
      <c r="DL88" s="14">
        <f t="shared" si="174"/>
        <v>0</v>
      </c>
      <c r="DM88" s="14">
        <f t="shared" si="174"/>
        <v>0</v>
      </c>
      <c r="DN88" s="14">
        <f t="shared" si="174"/>
        <v>0</v>
      </c>
      <c r="DO88" s="14">
        <f t="shared" si="174"/>
        <v>0</v>
      </c>
      <c r="DP88" s="15">
        <f t="shared" si="174"/>
        <v>0</v>
      </c>
      <c r="DQ88" s="15">
        <f t="shared" si="174"/>
        <v>0</v>
      </c>
      <c r="DR88" s="15">
        <f t="shared" si="174"/>
        <v>0</v>
      </c>
      <c r="DS88" s="15">
        <f>DR89+245</f>
        <v>245</v>
      </c>
      <c r="DT88" s="15">
        <f t="shared" si="174"/>
        <v>65</v>
      </c>
      <c r="DU88" s="14">
        <f t="shared" si="174"/>
        <v>0</v>
      </c>
      <c r="DV88" s="14">
        <f t="shared" si="174"/>
        <v>0</v>
      </c>
      <c r="DW88" s="14">
        <f t="shared" si="174"/>
        <v>0</v>
      </c>
      <c r="DX88" s="14">
        <f t="shared" si="174"/>
        <v>0</v>
      </c>
      <c r="DY88" s="14">
        <f t="shared" si="174"/>
        <v>0</v>
      </c>
      <c r="DZ88" s="14">
        <f t="shared" si="174"/>
        <v>0</v>
      </c>
      <c r="EA88" s="14">
        <f t="shared" si="174"/>
        <v>0</v>
      </c>
      <c r="EB88" s="14">
        <f t="shared" si="174"/>
        <v>0</v>
      </c>
      <c r="EC88" s="14">
        <f t="shared" si="174"/>
        <v>0</v>
      </c>
      <c r="ED88" s="14">
        <f aca="true" t="shared" si="175" ref="ED88:GO88">EC89</f>
        <v>0</v>
      </c>
      <c r="EE88" s="14">
        <f t="shared" si="175"/>
        <v>0</v>
      </c>
      <c r="EF88" s="14">
        <f>EE89+120</f>
        <v>120</v>
      </c>
      <c r="EG88" s="14">
        <f t="shared" si="175"/>
        <v>120</v>
      </c>
      <c r="EH88" s="14">
        <f t="shared" si="175"/>
        <v>0</v>
      </c>
      <c r="EI88" s="14">
        <f t="shared" si="175"/>
        <v>0</v>
      </c>
      <c r="EJ88" s="14">
        <f t="shared" si="175"/>
        <v>0</v>
      </c>
      <c r="EK88" s="14">
        <f t="shared" si="175"/>
        <v>0</v>
      </c>
      <c r="EL88" s="14">
        <f t="shared" si="175"/>
        <v>0</v>
      </c>
      <c r="EM88" s="14">
        <f t="shared" si="175"/>
        <v>0</v>
      </c>
      <c r="EN88" s="14">
        <f t="shared" si="175"/>
        <v>0</v>
      </c>
      <c r="EO88" s="14">
        <f t="shared" si="175"/>
        <v>0</v>
      </c>
      <c r="EP88" s="14">
        <f t="shared" si="175"/>
        <v>0</v>
      </c>
      <c r="EQ88" s="14">
        <f t="shared" si="175"/>
        <v>0</v>
      </c>
      <c r="ER88" s="14">
        <f>EQ89</f>
        <v>0</v>
      </c>
      <c r="ES88" s="14">
        <f>ER89+245</f>
        <v>245</v>
      </c>
      <c r="ET88" s="14">
        <f>ES89</f>
        <v>65</v>
      </c>
      <c r="EU88" s="14">
        <f t="shared" si="175"/>
        <v>0</v>
      </c>
      <c r="EV88" s="14">
        <f t="shared" si="175"/>
        <v>0</v>
      </c>
      <c r="EW88" s="14">
        <f t="shared" si="175"/>
        <v>0</v>
      </c>
      <c r="EX88" s="14">
        <f t="shared" si="175"/>
        <v>0</v>
      </c>
      <c r="EY88" s="14">
        <f t="shared" si="175"/>
        <v>0</v>
      </c>
      <c r="EZ88" s="14">
        <f t="shared" si="175"/>
        <v>0</v>
      </c>
      <c r="FA88" s="14">
        <f t="shared" si="175"/>
        <v>0</v>
      </c>
      <c r="FB88" s="14">
        <f t="shared" si="175"/>
        <v>0</v>
      </c>
      <c r="FC88" s="14">
        <f t="shared" si="175"/>
        <v>0</v>
      </c>
      <c r="FD88" s="14">
        <f t="shared" si="175"/>
        <v>0</v>
      </c>
      <c r="FE88" s="14">
        <f t="shared" si="175"/>
        <v>0</v>
      </c>
      <c r="FF88" s="14">
        <f>FE89+125</f>
        <v>125</v>
      </c>
      <c r="FG88" s="14">
        <f t="shared" si="175"/>
        <v>40</v>
      </c>
      <c r="FH88" s="14">
        <f t="shared" si="175"/>
        <v>0</v>
      </c>
      <c r="FI88" s="14">
        <f t="shared" si="175"/>
        <v>0</v>
      </c>
      <c r="FJ88" s="14">
        <f t="shared" si="175"/>
        <v>0</v>
      </c>
      <c r="FK88" s="14">
        <f t="shared" si="175"/>
        <v>0</v>
      </c>
      <c r="FL88" s="14">
        <f t="shared" si="175"/>
        <v>0</v>
      </c>
      <c r="FM88" s="14">
        <f t="shared" si="175"/>
        <v>0</v>
      </c>
      <c r="FN88" s="14">
        <f t="shared" si="175"/>
        <v>0</v>
      </c>
      <c r="FO88" s="14">
        <f t="shared" si="175"/>
        <v>0</v>
      </c>
      <c r="FP88" s="14">
        <f t="shared" si="175"/>
        <v>0</v>
      </c>
      <c r="FQ88" s="14">
        <f t="shared" si="175"/>
        <v>0</v>
      </c>
      <c r="FR88" s="14">
        <f t="shared" si="175"/>
        <v>0</v>
      </c>
      <c r="FS88" s="14">
        <f t="shared" si="175"/>
        <v>0</v>
      </c>
      <c r="FT88" s="14">
        <f t="shared" si="175"/>
        <v>0</v>
      </c>
      <c r="FU88" s="14">
        <f t="shared" si="175"/>
        <v>0</v>
      </c>
      <c r="FV88" s="14">
        <f t="shared" si="175"/>
        <v>0</v>
      </c>
      <c r="FW88" s="14">
        <f t="shared" si="175"/>
        <v>0</v>
      </c>
      <c r="FX88" s="14">
        <f t="shared" si="175"/>
        <v>0</v>
      </c>
      <c r="FY88" s="14">
        <f t="shared" si="175"/>
        <v>0</v>
      </c>
      <c r="FZ88" s="14">
        <f t="shared" si="175"/>
        <v>0</v>
      </c>
      <c r="GA88" s="14">
        <f t="shared" si="175"/>
        <v>0</v>
      </c>
      <c r="GB88" s="14">
        <f t="shared" si="175"/>
        <v>0</v>
      </c>
      <c r="GC88" s="14">
        <f t="shared" si="175"/>
        <v>0</v>
      </c>
      <c r="GD88" s="14">
        <f t="shared" si="175"/>
        <v>0</v>
      </c>
      <c r="GE88" s="14">
        <f t="shared" si="175"/>
        <v>0</v>
      </c>
      <c r="GF88" s="14">
        <f t="shared" si="175"/>
        <v>0</v>
      </c>
      <c r="GG88" s="14">
        <f t="shared" si="175"/>
        <v>0</v>
      </c>
      <c r="GH88" s="14">
        <f t="shared" si="175"/>
        <v>0</v>
      </c>
      <c r="GI88" s="14">
        <f t="shared" si="175"/>
        <v>0</v>
      </c>
      <c r="GJ88" s="14">
        <f t="shared" si="175"/>
        <v>0</v>
      </c>
      <c r="GK88" s="14">
        <f t="shared" si="175"/>
        <v>0</v>
      </c>
      <c r="GL88" s="14">
        <f t="shared" si="175"/>
        <v>0</v>
      </c>
      <c r="GM88" s="14">
        <f t="shared" si="175"/>
        <v>0</v>
      </c>
      <c r="GN88" s="14">
        <f t="shared" si="175"/>
        <v>0</v>
      </c>
      <c r="GO88" s="14">
        <f t="shared" si="175"/>
        <v>0</v>
      </c>
    </row>
    <row r="89" spans="1:197" ht="15">
      <c r="A89" s="4"/>
      <c r="B89" s="4"/>
      <c r="C89" s="12" t="s">
        <v>218</v>
      </c>
      <c r="D89" s="16">
        <f>D88-D87</f>
        <v>0</v>
      </c>
      <c r="E89" s="16">
        <f>E88-E87</f>
        <v>0</v>
      </c>
      <c r="F89" s="16">
        <f aca="true" t="shared" si="176" ref="F89:BQ89">F88-F87</f>
        <v>0</v>
      </c>
      <c r="G89" s="16">
        <f t="shared" si="176"/>
        <v>0</v>
      </c>
      <c r="H89" s="16">
        <f t="shared" si="176"/>
        <v>0</v>
      </c>
      <c r="I89" s="16">
        <f t="shared" si="176"/>
        <v>0</v>
      </c>
      <c r="J89" s="16">
        <f t="shared" si="176"/>
        <v>0</v>
      </c>
      <c r="K89" s="16">
        <f t="shared" si="176"/>
        <v>0</v>
      </c>
      <c r="L89" s="16">
        <f t="shared" si="176"/>
        <v>0</v>
      </c>
      <c r="M89" s="16">
        <f t="shared" si="176"/>
        <v>0</v>
      </c>
      <c r="N89" s="16">
        <f t="shared" si="176"/>
        <v>0</v>
      </c>
      <c r="O89" s="17">
        <f t="shared" si="176"/>
        <v>0</v>
      </c>
      <c r="P89" s="16">
        <f t="shared" si="176"/>
        <v>0</v>
      </c>
      <c r="Q89" s="16">
        <f t="shared" si="176"/>
        <v>0</v>
      </c>
      <c r="R89" s="16">
        <f t="shared" si="176"/>
        <v>65</v>
      </c>
      <c r="S89" s="16">
        <f t="shared" si="176"/>
        <v>0</v>
      </c>
      <c r="T89" s="16">
        <f t="shared" si="176"/>
        <v>0</v>
      </c>
      <c r="U89" s="16">
        <f t="shared" si="176"/>
        <v>0</v>
      </c>
      <c r="V89" s="16">
        <f t="shared" si="176"/>
        <v>0</v>
      </c>
      <c r="W89" s="16">
        <f t="shared" si="176"/>
        <v>0</v>
      </c>
      <c r="X89" s="17">
        <f t="shared" si="176"/>
        <v>0</v>
      </c>
      <c r="Y89" s="16">
        <f t="shared" si="176"/>
        <v>0</v>
      </c>
      <c r="Z89" s="16">
        <f t="shared" si="176"/>
        <v>0</v>
      </c>
      <c r="AA89" s="16">
        <f t="shared" si="176"/>
        <v>0</v>
      </c>
      <c r="AB89" s="16">
        <f t="shared" si="176"/>
        <v>0</v>
      </c>
      <c r="AC89" s="16">
        <f t="shared" si="176"/>
        <v>0</v>
      </c>
      <c r="AD89" s="16">
        <f t="shared" si="176"/>
        <v>0</v>
      </c>
      <c r="AE89" s="16">
        <f t="shared" si="176"/>
        <v>40</v>
      </c>
      <c r="AF89" s="16">
        <f t="shared" si="176"/>
        <v>0</v>
      </c>
      <c r="AG89" s="16">
        <f t="shared" si="176"/>
        <v>0</v>
      </c>
      <c r="AH89" s="16">
        <f t="shared" si="176"/>
        <v>0</v>
      </c>
      <c r="AI89" s="16">
        <f t="shared" si="176"/>
        <v>0</v>
      </c>
      <c r="AJ89" s="16">
        <f t="shared" si="176"/>
        <v>0</v>
      </c>
      <c r="AK89" s="16">
        <f t="shared" si="176"/>
        <v>0</v>
      </c>
      <c r="AL89" s="16">
        <f t="shared" si="176"/>
        <v>0</v>
      </c>
      <c r="AM89" s="16">
        <f t="shared" si="176"/>
        <v>0</v>
      </c>
      <c r="AN89" s="16">
        <f t="shared" si="176"/>
        <v>0</v>
      </c>
      <c r="AO89" s="16">
        <f t="shared" si="176"/>
        <v>0</v>
      </c>
      <c r="AP89" s="16">
        <f t="shared" si="176"/>
        <v>0</v>
      </c>
      <c r="AQ89" s="16">
        <f t="shared" si="176"/>
        <v>0</v>
      </c>
      <c r="AR89" s="16">
        <f t="shared" si="176"/>
        <v>0</v>
      </c>
      <c r="AS89" s="16">
        <f t="shared" si="176"/>
        <v>0</v>
      </c>
      <c r="AT89" s="16">
        <f t="shared" si="176"/>
        <v>0</v>
      </c>
      <c r="AU89" s="16">
        <f t="shared" si="176"/>
        <v>0</v>
      </c>
      <c r="AV89" s="16">
        <f t="shared" si="176"/>
        <v>0</v>
      </c>
      <c r="AW89" s="16">
        <f t="shared" si="176"/>
        <v>0</v>
      </c>
      <c r="AX89" s="16">
        <f t="shared" si="176"/>
        <v>0</v>
      </c>
      <c r="AY89" s="16">
        <f t="shared" si="176"/>
        <v>0</v>
      </c>
      <c r="AZ89" s="16">
        <f t="shared" si="176"/>
        <v>0</v>
      </c>
      <c r="BA89" s="16">
        <f t="shared" si="176"/>
        <v>0</v>
      </c>
      <c r="BB89" s="16">
        <f t="shared" si="176"/>
        <v>0</v>
      </c>
      <c r="BC89" s="16">
        <f t="shared" si="176"/>
        <v>0</v>
      </c>
      <c r="BD89" s="16">
        <f t="shared" si="176"/>
        <v>0</v>
      </c>
      <c r="BE89" s="16">
        <f t="shared" si="176"/>
        <v>0</v>
      </c>
      <c r="BF89" s="16">
        <f t="shared" si="176"/>
        <v>0</v>
      </c>
      <c r="BG89" s="16">
        <f t="shared" si="176"/>
        <v>0</v>
      </c>
      <c r="BH89" s="16">
        <f t="shared" si="176"/>
        <v>0</v>
      </c>
      <c r="BI89" s="16">
        <f t="shared" si="176"/>
        <v>0</v>
      </c>
      <c r="BJ89" s="16">
        <f t="shared" si="176"/>
        <v>0</v>
      </c>
      <c r="BK89" s="16">
        <f t="shared" si="176"/>
        <v>0</v>
      </c>
      <c r="BL89" s="16">
        <f t="shared" si="176"/>
        <v>0</v>
      </c>
      <c r="BM89" s="16">
        <f t="shared" si="176"/>
        <v>0</v>
      </c>
      <c r="BN89" s="16">
        <f t="shared" si="176"/>
        <v>0</v>
      </c>
      <c r="BO89" s="16">
        <f t="shared" si="176"/>
        <v>0</v>
      </c>
      <c r="BP89" s="16">
        <f t="shared" si="176"/>
        <v>0</v>
      </c>
      <c r="BQ89" s="16">
        <f t="shared" si="176"/>
        <v>0</v>
      </c>
      <c r="BR89" s="16">
        <f aca="true" t="shared" si="177" ref="BR89:EC89">BR88-BR87</f>
        <v>0</v>
      </c>
      <c r="BS89" s="16">
        <f t="shared" si="177"/>
        <v>65</v>
      </c>
      <c r="BT89" s="27">
        <f t="shared" si="177"/>
        <v>0</v>
      </c>
      <c r="BU89" s="27">
        <f t="shared" si="177"/>
        <v>0</v>
      </c>
      <c r="BV89" s="27">
        <f t="shared" si="177"/>
        <v>0</v>
      </c>
      <c r="BW89" s="16">
        <f t="shared" si="177"/>
        <v>0</v>
      </c>
      <c r="BX89" s="16">
        <f t="shared" si="177"/>
        <v>0</v>
      </c>
      <c r="BY89" s="16">
        <f t="shared" si="177"/>
        <v>0</v>
      </c>
      <c r="BZ89" s="16">
        <f t="shared" si="177"/>
        <v>0</v>
      </c>
      <c r="CA89" s="16">
        <f t="shared" si="177"/>
        <v>0</v>
      </c>
      <c r="CB89" s="16">
        <f t="shared" si="177"/>
        <v>0</v>
      </c>
      <c r="CC89" s="16">
        <f t="shared" si="177"/>
        <v>0</v>
      </c>
      <c r="CD89" s="16">
        <f t="shared" si="177"/>
        <v>0</v>
      </c>
      <c r="CE89" s="16">
        <f t="shared" si="177"/>
        <v>-25</v>
      </c>
      <c r="CF89" s="16">
        <f t="shared" si="177"/>
        <v>20</v>
      </c>
      <c r="CG89" s="16">
        <f t="shared" si="177"/>
        <v>0</v>
      </c>
      <c r="CH89" s="16">
        <f t="shared" si="177"/>
        <v>0</v>
      </c>
      <c r="CI89" s="16">
        <f t="shared" si="177"/>
        <v>0</v>
      </c>
      <c r="CJ89" s="16">
        <f t="shared" si="177"/>
        <v>0</v>
      </c>
      <c r="CK89" s="16">
        <f t="shared" si="177"/>
        <v>0</v>
      </c>
      <c r="CL89" s="16">
        <f t="shared" si="177"/>
        <v>0</v>
      </c>
      <c r="CM89" s="16">
        <f t="shared" si="177"/>
        <v>0</v>
      </c>
      <c r="CN89" s="16">
        <f t="shared" si="177"/>
        <v>0</v>
      </c>
      <c r="CO89" s="16">
        <f t="shared" si="177"/>
        <v>0</v>
      </c>
      <c r="CP89" s="16">
        <f t="shared" si="177"/>
        <v>0</v>
      </c>
      <c r="CQ89" s="16">
        <f t="shared" si="177"/>
        <v>0</v>
      </c>
      <c r="CR89" s="16">
        <f t="shared" si="177"/>
        <v>0</v>
      </c>
      <c r="CS89" s="16">
        <f t="shared" si="177"/>
        <v>65</v>
      </c>
      <c r="CT89" s="16">
        <f t="shared" si="177"/>
        <v>0</v>
      </c>
      <c r="CU89" s="16">
        <f t="shared" si="177"/>
        <v>0</v>
      </c>
      <c r="CV89" s="16">
        <f t="shared" si="177"/>
        <v>0</v>
      </c>
      <c r="CW89" s="16">
        <f t="shared" si="177"/>
        <v>0</v>
      </c>
      <c r="CX89" s="16">
        <f t="shared" si="177"/>
        <v>0</v>
      </c>
      <c r="CY89" s="16">
        <f t="shared" si="177"/>
        <v>0</v>
      </c>
      <c r="CZ89" s="16">
        <f t="shared" si="177"/>
        <v>0</v>
      </c>
      <c r="DA89" s="16">
        <f t="shared" si="177"/>
        <v>0</v>
      </c>
      <c r="DB89" s="16">
        <f t="shared" si="177"/>
        <v>0</v>
      </c>
      <c r="DC89" s="16">
        <f t="shared" si="177"/>
        <v>0</v>
      </c>
      <c r="DD89" s="16">
        <f t="shared" si="177"/>
        <v>0</v>
      </c>
      <c r="DE89" s="16">
        <f t="shared" si="177"/>
        <v>0</v>
      </c>
      <c r="DF89" s="16">
        <f t="shared" si="177"/>
        <v>35</v>
      </c>
      <c r="DG89" s="16">
        <f t="shared" si="177"/>
        <v>15</v>
      </c>
      <c r="DH89" s="16">
        <f t="shared" si="177"/>
        <v>0</v>
      </c>
      <c r="DI89" s="16">
        <f t="shared" si="177"/>
        <v>0</v>
      </c>
      <c r="DJ89" s="16">
        <f t="shared" si="177"/>
        <v>0</v>
      </c>
      <c r="DK89" s="16">
        <f t="shared" si="177"/>
        <v>0</v>
      </c>
      <c r="DL89" s="16">
        <f t="shared" si="177"/>
        <v>0</v>
      </c>
      <c r="DM89" s="16">
        <f t="shared" si="177"/>
        <v>0</v>
      </c>
      <c r="DN89" s="16">
        <f t="shared" si="177"/>
        <v>0</v>
      </c>
      <c r="DO89" s="16">
        <f t="shared" si="177"/>
        <v>0</v>
      </c>
      <c r="DP89" s="17">
        <f t="shared" si="177"/>
        <v>0</v>
      </c>
      <c r="DQ89" s="17">
        <f t="shared" si="177"/>
        <v>0</v>
      </c>
      <c r="DR89" s="17">
        <f t="shared" si="177"/>
        <v>0</v>
      </c>
      <c r="DS89" s="17">
        <f t="shared" si="177"/>
        <v>65</v>
      </c>
      <c r="DT89" s="17">
        <f t="shared" si="177"/>
        <v>0</v>
      </c>
      <c r="DU89" s="16">
        <f t="shared" si="177"/>
        <v>0</v>
      </c>
      <c r="DV89" s="16">
        <f t="shared" si="177"/>
        <v>0</v>
      </c>
      <c r="DW89" s="16">
        <f t="shared" si="177"/>
        <v>0</v>
      </c>
      <c r="DX89" s="16">
        <f t="shared" si="177"/>
        <v>0</v>
      </c>
      <c r="DY89" s="16">
        <f t="shared" si="177"/>
        <v>0</v>
      </c>
      <c r="DZ89" s="16">
        <f t="shared" si="177"/>
        <v>0</v>
      </c>
      <c r="EA89" s="16">
        <f t="shared" si="177"/>
        <v>0</v>
      </c>
      <c r="EB89" s="16">
        <f t="shared" si="177"/>
        <v>0</v>
      </c>
      <c r="EC89" s="16">
        <f t="shared" si="177"/>
        <v>0</v>
      </c>
      <c r="ED89" s="16">
        <f aca="true" t="shared" si="178" ref="ED89:GO89">ED88-ED87</f>
        <v>0</v>
      </c>
      <c r="EE89" s="16">
        <f t="shared" si="178"/>
        <v>0</v>
      </c>
      <c r="EF89" s="16">
        <f t="shared" si="178"/>
        <v>120</v>
      </c>
      <c r="EG89" s="16">
        <f t="shared" si="178"/>
        <v>0</v>
      </c>
      <c r="EH89" s="16">
        <f t="shared" si="178"/>
        <v>0</v>
      </c>
      <c r="EI89" s="16">
        <f t="shared" si="178"/>
        <v>0</v>
      </c>
      <c r="EJ89" s="16">
        <f t="shared" si="178"/>
        <v>0</v>
      </c>
      <c r="EK89" s="16">
        <f t="shared" si="178"/>
        <v>0</v>
      </c>
      <c r="EL89" s="16">
        <f t="shared" si="178"/>
        <v>0</v>
      </c>
      <c r="EM89" s="16">
        <f t="shared" si="178"/>
        <v>0</v>
      </c>
      <c r="EN89" s="16">
        <f t="shared" si="178"/>
        <v>0</v>
      </c>
      <c r="EO89" s="16">
        <f t="shared" si="178"/>
        <v>0</v>
      </c>
      <c r="EP89" s="16">
        <f t="shared" si="178"/>
        <v>0</v>
      </c>
      <c r="EQ89" s="16">
        <f t="shared" si="178"/>
        <v>0</v>
      </c>
      <c r="ER89" s="16">
        <f t="shared" si="178"/>
        <v>0</v>
      </c>
      <c r="ES89" s="16">
        <f t="shared" si="178"/>
        <v>65</v>
      </c>
      <c r="ET89" s="16">
        <f t="shared" si="178"/>
        <v>0</v>
      </c>
      <c r="EU89" s="16">
        <f t="shared" si="178"/>
        <v>0</v>
      </c>
      <c r="EV89" s="16">
        <f t="shared" si="178"/>
        <v>0</v>
      </c>
      <c r="EW89" s="16">
        <f t="shared" si="178"/>
        <v>0</v>
      </c>
      <c r="EX89" s="16">
        <f t="shared" si="178"/>
        <v>0</v>
      </c>
      <c r="EY89" s="16">
        <f t="shared" si="178"/>
        <v>0</v>
      </c>
      <c r="EZ89" s="16">
        <f t="shared" si="178"/>
        <v>0</v>
      </c>
      <c r="FA89" s="16">
        <f t="shared" si="178"/>
        <v>0</v>
      </c>
      <c r="FB89" s="16">
        <f t="shared" si="178"/>
        <v>0</v>
      </c>
      <c r="FC89" s="16">
        <f t="shared" si="178"/>
        <v>0</v>
      </c>
      <c r="FD89" s="16">
        <f t="shared" si="178"/>
        <v>0</v>
      </c>
      <c r="FE89" s="16">
        <f t="shared" si="178"/>
        <v>0</v>
      </c>
      <c r="FF89" s="16">
        <f t="shared" si="178"/>
        <v>40</v>
      </c>
      <c r="FG89" s="16">
        <f t="shared" si="178"/>
        <v>0</v>
      </c>
      <c r="FH89" s="16">
        <f t="shared" si="178"/>
        <v>0</v>
      </c>
      <c r="FI89" s="16">
        <f t="shared" si="178"/>
        <v>0</v>
      </c>
      <c r="FJ89" s="16">
        <f t="shared" si="178"/>
        <v>0</v>
      </c>
      <c r="FK89" s="16">
        <f t="shared" si="178"/>
        <v>0</v>
      </c>
      <c r="FL89" s="16">
        <f t="shared" si="178"/>
        <v>0</v>
      </c>
      <c r="FM89" s="16">
        <f t="shared" si="178"/>
        <v>0</v>
      </c>
      <c r="FN89" s="16">
        <f t="shared" si="178"/>
        <v>0</v>
      </c>
      <c r="FO89" s="16">
        <f t="shared" si="178"/>
        <v>0</v>
      </c>
      <c r="FP89" s="16">
        <f t="shared" si="178"/>
        <v>0</v>
      </c>
      <c r="FQ89" s="16">
        <f t="shared" si="178"/>
        <v>0</v>
      </c>
      <c r="FR89" s="16">
        <f t="shared" si="178"/>
        <v>0</v>
      </c>
      <c r="FS89" s="16">
        <f t="shared" si="178"/>
        <v>0</v>
      </c>
      <c r="FT89" s="16">
        <f t="shared" si="178"/>
        <v>0</v>
      </c>
      <c r="FU89" s="16">
        <f t="shared" si="178"/>
        <v>0</v>
      </c>
      <c r="FV89" s="16">
        <f t="shared" si="178"/>
        <v>0</v>
      </c>
      <c r="FW89" s="16">
        <f t="shared" si="178"/>
        <v>0</v>
      </c>
      <c r="FX89" s="16">
        <f t="shared" si="178"/>
        <v>0</v>
      </c>
      <c r="FY89" s="16">
        <f t="shared" si="178"/>
        <v>0</v>
      </c>
      <c r="FZ89" s="16">
        <f t="shared" si="178"/>
        <v>0</v>
      </c>
      <c r="GA89" s="16">
        <f t="shared" si="178"/>
        <v>0</v>
      </c>
      <c r="GB89" s="16">
        <f t="shared" si="178"/>
        <v>0</v>
      </c>
      <c r="GC89" s="16">
        <f t="shared" si="178"/>
        <v>0</v>
      </c>
      <c r="GD89" s="16">
        <f t="shared" si="178"/>
        <v>0</v>
      </c>
      <c r="GE89" s="16">
        <f t="shared" si="178"/>
        <v>0</v>
      </c>
      <c r="GF89" s="16">
        <f t="shared" si="178"/>
        <v>0</v>
      </c>
      <c r="GG89" s="16">
        <f t="shared" si="178"/>
        <v>0</v>
      </c>
      <c r="GH89" s="16">
        <f t="shared" si="178"/>
        <v>0</v>
      </c>
      <c r="GI89" s="16">
        <f t="shared" si="178"/>
        <v>0</v>
      </c>
      <c r="GJ89" s="16">
        <f t="shared" si="178"/>
        <v>0</v>
      </c>
      <c r="GK89" s="16">
        <f t="shared" si="178"/>
        <v>0</v>
      </c>
      <c r="GL89" s="16">
        <f t="shared" si="178"/>
        <v>0</v>
      </c>
      <c r="GM89" s="16">
        <f t="shared" si="178"/>
        <v>0</v>
      </c>
      <c r="GN89" s="16">
        <f t="shared" si="178"/>
        <v>0</v>
      </c>
      <c r="GO89" s="16">
        <f t="shared" si="178"/>
        <v>0</v>
      </c>
    </row>
    <row r="90" spans="1:256" s="9" customFormat="1" ht="15">
      <c r="A90" s="4" t="s">
        <v>250</v>
      </c>
      <c r="B90" s="4">
        <v>21</v>
      </c>
      <c r="C90" s="12" t="s">
        <v>216</v>
      </c>
      <c r="H90" s="19">
        <v>3.1</v>
      </c>
      <c r="O90" s="29"/>
      <c r="X90" s="29"/>
      <c r="AP90" s="19">
        <v>3.9</v>
      </c>
      <c r="AZ90" s="30">
        <v>6.5</v>
      </c>
      <c r="BT90" s="31"/>
      <c r="BU90" s="31"/>
      <c r="BV90" s="31"/>
      <c r="CP90" s="19">
        <v>4.7</v>
      </c>
      <c r="CZ90" s="30">
        <v>3.4</v>
      </c>
      <c r="DP90" s="29"/>
      <c r="DQ90" s="29"/>
      <c r="DR90" s="29"/>
      <c r="DS90" s="29"/>
      <c r="DT90" s="29"/>
      <c r="EP90" s="19">
        <v>7</v>
      </c>
      <c r="FA90" s="30">
        <v>3.8</v>
      </c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197" ht="15">
      <c r="A91" s="4"/>
      <c r="B91" s="4"/>
      <c r="C91" s="12" t="s">
        <v>217</v>
      </c>
      <c r="D91" s="14">
        <v>3.1</v>
      </c>
      <c r="E91" s="14">
        <f>D92</f>
        <v>3.1</v>
      </c>
      <c r="F91" s="14">
        <f aca="true" t="shared" si="179" ref="F91:BQ91">E92</f>
        <v>3.1</v>
      </c>
      <c r="G91" s="14">
        <f t="shared" si="179"/>
        <v>3.1</v>
      </c>
      <c r="H91" s="14">
        <f t="shared" si="179"/>
        <v>3.1</v>
      </c>
      <c r="I91" s="14">
        <f t="shared" si="179"/>
        <v>0</v>
      </c>
      <c r="J91" s="14">
        <f t="shared" si="179"/>
        <v>0</v>
      </c>
      <c r="K91" s="14">
        <f t="shared" si="179"/>
        <v>0</v>
      </c>
      <c r="L91" s="14">
        <f t="shared" si="179"/>
        <v>0</v>
      </c>
      <c r="M91" s="14">
        <f t="shared" si="179"/>
        <v>0</v>
      </c>
      <c r="N91" s="14">
        <f t="shared" si="179"/>
        <v>0</v>
      </c>
      <c r="O91" s="15">
        <f t="shared" si="179"/>
        <v>0</v>
      </c>
      <c r="P91" s="14">
        <f t="shared" si="179"/>
        <v>0</v>
      </c>
      <c r="Q91" s="14">
        <f t="shared" si="179"/>
        <v>0</v>
      </c>
      <c r="R91" s="14">
        <f t="shared" si="179"/>
        <v>0</v>
      </c>
      <c r="S91" s="14">
        <f t="shared" si="179"/>
        <v>0</v>
      </c>
      <c r="T91" s="14">
        <f t="shared" si="179"/>
        <v>0</v>
      </c>
      <c r="U91" s="14">
        <f t="shared" si="179"/>
        <v>0</v>
      </c>
      <c r="V91" s="14">
        <f t="shared" si="179"/>
        <v>0</v>
      </c>
      <c r="W91" s="14">
        <f t="shared" si="179"/>
        <v>0</v>
      </c>
      <c r="X91" s="15">
        <f t="shared" si="179"/>
        <v>0</v>
      </c>
      <c r="Y91" s="14">
        <f>X92+3.9</f>
        <v>3.9</v>
      </c>
      <c r="Z91" s="14">
        <f t="shared" si="179"/>
        <v>3.9</v>
      </c>
      <c r="AA91" s="14">
        <f t="shared" si="179"/>
        <v>3.9</v>
      </c>
      <c r="AB91" s="14">
        <f t="shared" si="179"/>
        <v>3.9</v>
      </c>
      <c r="AC91" s="14">
        <f t="shared" si="179"/>
        <v>3.9</v>
      </c>
      <c r="AD91" s="14">
        <f t="shared" si="179"/>
        <v>3.9</v>
      </c>
      <c r="AE91" s="14">
        <f t="shared" si="179"/>
        <v>3.9</v>
      </c>
      <c r="AF91" s="14">
        <f t="shared" si="179"/>
        <v>3.9</v>
      </c>
      <c r="AG91" s="14">
        <f t="shared" si="179"/>
        <v>3.9</v>
      </c>
      <c r="AH91" s="14">
        <f t="shared" si="179"/>
        <v>3.9</v>
      </c>
      <c r="AI91" s="14">
        <f t="shared" si="179"/>
        <v>3.9</v>
      </c>
      <c r="AJ91" s="14">
        <f t="shared" si="179"/>
        <v>3.9</v>
      </c>
      <c r="AK91" s="14">
        <f t="shared" si="179"/>
        <v>3.9</v>
      </c>
      <c r="AL91" s="14">
        <f t="shared" si="179"/>
        <v>3.9</v>
      </c>
      <c r="AM91" s="14">
        <f t="shared" si="179"/>
        <v>3.9</v>
      </c>
      <c r="AN91" s="14">
        <f t="shared" si="179"/>
        <v>3.9</v>
      </c>
      <c r="AO91" s="14">
        <f t="shared" si="179"/>
        <v>3.9</v>
      </c>
      <c r="AP91" s="14">
        <f t="shared" si="179"/>
        <v>3.9</v>
      </c>
      <c r="AQ91" s="14">
        <f t="shared" si="179"/>
        <v>0</v>
      </c>
      <c r="AR91" s="14">
        <f>AQ92+6.5</f>
        <v>6.5</v>
      </c>
      <c r="AS91" s="14">
        <f t="shared" si="179"/>
        <v>6.5</v>
      </c>
      <c r="AT91" s="14">
        <f t="shared" si="179"/>
        <v>6.5</v>
      </c>
      <c r="AU91" s="14">
        <f t="shared" si="179"/>
        <v>6.5</v>
      </c>
      <c r="AV91" s="14">
        <f t="shared" si="179"/>
        <v>6.5</v>
      </c>
      <c r="AW91" s="14">
        <f t="shared" si="179"/>
        <v>6.5</v>
      </c>
      <c r="AX91" s="14">
        <f t="shared" si="179"/>
        <v>6.5</v>
      </c>
      <c r="AY91" s="14">
        <f t="shared" si="179"/>
        <v>6.5</v>
      </c>
      <c r="AZ91" s="14">
        <f t="shared" si="179"/>
        <v>6.5</v>
      </c>
      <c r="BA91" s="14">
        <f t="shared" si="179"/>
        <v>0</v>
      </c>
      <c r="BB91" s="14">
        <f t="shared" si="179"/>
        <v>0</v>
      </c>
      <c r="BC91" s="14">
        <f t="shared" si="179"/>
        <v>0</v>
      </c>
      <c r="BD91" s="14">
        <f t="shared" si="179"/>
        <v>0</v>
      </c>
      <c r="BE91" s="14">
        <f t="shared" si="179"/>
        <v>0</v>
      </c>
      <c r="BF91" s="14">
        <f t="shared" si="179"/>
        <v>0</v>
      </c>
      <c r="BG91" s="14">
        <f t="shared" si="179"/>
        <v>0</v>
      </c>
      <c r="BH91" s="14">
        <f t="shared" si="179"/>
        <v>0</v>
      </c>
      <c r="BI91" s="14">
        <f t="shared" si="179"/>
        <v>0</v>
      </c>
      <c r="BJ91" s="14">
        <f t="shared" si="179"/>
        <v>0</v>
      </c>
      <c r="BK91" s="14">
        <f t="shared" si="179"/>
        <v>0</v>
      </c>
      <c r="BL91" s="14">
        <f t="shared" si="179"/>
        <v>0</v>
      </c>
      <c r="BM91" s="14">
        <f t="shared" si="179"/>
        <v>0</v>
      </c>
      <c r="BN91" s="14">
        <f t="shared" si="179"/>
        <v>0</v>
      </c>
      <c r="BO91" s="14">
        <f t="shared" si="179"/>
        <v>0</v>
      </c>
      <c r="BP91" s="14">
        <f t="shared" si="179"/>
        <v>0</v>
      </c>
      <c r="BQ91" s="14">
        <f t="shared" si="179"/>
        <v>0</v>
      </c>
      <c r="BR91" s="14">
        <f aca="true" t="shared" si="180" ref="BR91:EC91">BQ92</f>
        <v>0</v>
      </c>
      <c r="BS91" s="14">
        <f t="shared" si="180"/>
        <v>0</v>
      </c>
      <c r="BT91" s="26">
        <f t="shared" si="180"/>
        <v>0</v>
      </c>
      <c r="BU91" s="26">
        <f t="shared" si="180"/>
        <v>0</v>
      </c>
      <c r="BV91" s="26">
        <f>BU92+4.7</f>
        <v>4.7</v>
      </c>
      <c r="BW91" s="14">
        <f t="shared" si="180"/>
        <v>4.7</v>
      </c>
      <c r="BX91" s="14">
        <f t="shared" si="180"/>
        <v>4.7</v>
      </c>
      <c r="BY91" s="14">
        <f t="shared" si="180"/>
        <v>4.7</v>
      </c>
      <c r="BZ91" s="14">
        <f t="shared" si="180"/>
        <v>4.7</v>
      </c>
      <c r="CA91" s="14">
        <f t="shared" si="180"/>
        <v>4.7</v>
      </c>
      <c r="CB91" s="14">
        <f t="shared" si="180"/>
        <v>4.7</v>
      </c>
      <c r="CC91" s="14">
        <f t="shared" si="180"/>
        <v>4.7</v>
      </c>
      <c r="CD91" s="14">
        <f t="shared" si="180"/>
        <v>4.7</v>
      </c>
      <c r="CE91" s="14">
        <f t="shared" si="180"/>
        <v>4.7</v>
      </c>
      <c r="CF91" s="14">
        <f t="shared" si="180"/>
        <v>4.7</v>
      </c>
      <c r="CG91" s="14">
        <f t="shared" si="180"/>
        <v>4.7</v>
      </c>
      <c r="CH91" s="14">
        <f t="shared" si="180"/>
        <v>4.7</v>
      </c>
      <c r="CI91" s="14">
        <f t="shared" si="180"/>
        <v>4.7</v>
      </c>
      <c r="CJ91" s="14">
        <f t="shared" si="180"/>
        <v>4.7</v>
      </c>
      <c r="CK91" s="14">
        <f t="shared" si="180"/>
        <v>4.7</v>
      </c>
      <c r="CL91" s="14">
        <f t="shared" si="180"/>
        <v>4.7</v>
      </c>
      <c r="CM91" s="14">
        <f t="shared" si="180"/>
        <v>4.7</v>
      </c>
      <c r="CN91" s="14">
        <f t="shared" si="180"/>
        <v>4.7</v>
      </c>
      <c r="CO91" s="14">
        <f t="shared" si="180"/>
        <v>4.7</v>
      </c>
      <c r="CP91" s="14">
        <f t="shared" si="180"/>
        <v>4.7</v>
      </c>
      <c r="CQ91" s="14">
        <f t="shared" si="180"/>
        <v>0</v>
      </c>
      <c r="CR91" s="14">
        <f>CQ92+7.2</f>
        <v>7.2</v>
      </c>
      <c r="CS91" s="14">
        <f t="shared" si="180"/>
        <v>7.2</v>
      </c>
      <c r="CT91" s="14">
        <f t="shared" si="180"/>
        <v>7.2</v>
      </c>
      <c r="CU91" s="14">
        <f t="shared" si="180"/>
        <v>7.2</v>
      </c>
      <c r="CV91" s="14">
        <f t="shared" si="180"/>
        <v>7.2</v>
      </c>
      <c r="CW91" s="14">
        <f t="shared" si="180"/>
        <v>7.2</v>
      </c>
      <c r="CX91" s="14">
        <f t="shared" si="180"/>
        <v>7.2</v>
      </c>
      <c r="CY91" s="14">
        <f t="shared" si="180"/>
        <v>7.2</v>
      </c>
      <c r="CZ91" s="14">
        <f t="shared" si="180"/>
        <v>7.2</v>
      </c>
      <c r="DA91" s="14">
        <f t="shared" si="180"/>
        <v>3.8000000000000003</v>
      </c>
      <c r="DB91" s="14">
        <f t="shared" si="180"/>
        <v>3.8000000000000003</v>
      </c>
      <c r="DC91" s="14">
        <f t="shared" si="180"/>
        <v>3.8000000000000003</v>
      </c>
      <c r="DD91" s="14">
        <f t="shared" si="180"/>
        <v>3.8000000000000003</v>
      </c>
      <c r="DE91" s="14">
        <f t="shared" si="180"/>
        <v>3.8000000000000003</v>
      </c>
      <c r="DF91" s="14">
        <f t="shared" si="180"/>
        <v>3.8000000000000003</v>
      </c>
      <c r="DG91" s="14">
        <f t="shared" si="180"/>
        <v>3.8000000000000003</v>
      </c>
      <c r="DH91" s="14">
        <f t="shared" si="180"/>
        <v>3.8000000000000003</v>
      </c>
      <c r="DI91" s="14">
        <f t="shared" si="180"/>
        <v>3.8000000000000003</v>
      </c>
      <c r="DJ91" s="14">
        <f t="shared" si="180"/>
        <v>3.8000000000000003</v>
      </c>
      <c r="DK91" s="14">
        <f t="shared" si="180"/>
        <v>3.8000000000000003</v>
      </c>
      <c r="DL91" s="14">
        <f t="shared" si="180"/>
        <v>3.8000000000000003</v>
      </c>
      <c r="DM91" s="14">
        <f t="shared" si="180"/>
        <v>3.8000000000000003</v>
      </c>
      <c r="DN91" s="14">
        <f t="shared" si="180"/>
        <v>3.8000000000000003</v>
      </c>
      <c r="DO91" s="14">
        <f t="shared" si="180"/>
        <v>3.8000000000000003</v>
      </c>
      <c r="DP91" s="15">
        <f t="shared" si="180"/>
        <v>3.8000000000000003</v>
      </c>
      <c r="DQ91" s="15">
        <f t="shared" si="180"/>
        <v>3.8000000000000003</v>
      </c>
      <c r="DR91" s="15">
        <f t="shared" si="180"/>
        <v>3.8000000000000003</v>
      </c>
      <c r="DS91" s="15">
        <f>DR92+7</f>
        <v>10.8</v>
      </c>
      <c r="DT91" s="15">
        <f t="shared" si="180"/>
        <v>10.8</v>
      </c>
      <c r="DU91" s="14">
        <f t="shared" si="180"/>
        <v>10.8</v>
      </c>
      <c r="DV91" s="14">
        <f t="shared" si="180"/>
        <v>10.8</v>
      </c>
      <c r="DW91" s="14">
        <f t="shared" si="180"/>
        <v>10.8</v>
      </c>
      <c r="DX91" s="14">
        <f t="shared" si="180"/>
        <v>10.8</v>
      </c>
      <c r="DY91" s="14">
        <f t="shared" si="180"/>
        <v>10.8</v>
      </c>
      <c r="DZ91" s="14">
        <f t="shared" si="180"/>
        <v>10.8</v>
      </c>
      <c r="EA91" s="14">
        <f t="shared" si="180"/>
        <v>10.8</v>
      </c>
      <c r="EB91" s="14">
        <f t="shared" si="180"/>
        <v>10.8</v>
      </c>
      <c r="EC91" s="14">
        <f t="shared" si="180"/>
        <v>10.8</v>
      </c>
      <c r="ED91" s="14">
        <f aca="true" t="shared" si="181" ref="ED91:GO91">EC92</f>
        <v>10.8</v>
      </c>
      <c r="EE91" s="14">
        <f t="shared" si="181"/>
        <v>10.8</v>
      </c>
      <c r="EF91" s="14">
        <f t="shared" si="181"/>
        <v>10.8</v>
      </c>
      <c r="EG91" s="14">
        <f t="shared" si="181"/>
        <v>10.8</v>
      </c>
      <c r="EH91" s="14">
        <f t="shared" si="181"/>
        <v>10.8</v>
      </c>
      <c r="EI91" s="14">
        <f t="shared" si="181"/>
        <v>10.8</v>
      </c>
      <c r="EJ91" s="14">
        <f t="shared" si="181"/>
        <v>10.8</v>
      </c>
      <c r="EK91" s="14">
        <f t="shared" si="181"/>
        <v>10.8</v>
      </c>
      <c r="EL91" s="14">
        <f t="shared" si="181"/>
        <v>10.8</v>
      </c>
      <c r="EM91" s="14">
        <f t="shared" si="181"/>
        <v>10.8</v>
      </c>
      <c r="EN91" s="14">
        <f t="shared" si="181"/>
        <v>10.8</v>
      </c>
      <c r="EO91" s="14">
        <f t="shared" si="181"/>
        <v>10.8</v>
      </c>
      <c r="EP91" s="14">
        <f t="shared" si="181"/>
        <v>10.8</v>
      </c>
      <c r="EQ91" s="14">
        <f t="shared" si="181"/>
        <v>3.8000000000000007</v>
      </c>
      <c r="ER91" s="14">
        <f>EQ92</f>
        <v>3.8000000000000007</v>
      </c>
      <c r="ES91" s="14">
        <f>ER92</f>
        <v>3.8000000000000007</v>
      </c>
      <c r="ET91" s="14">
        <f>ES92</f>
        <v>3.8000000000000007</v>
      </c>
      <c r="EU91" s="14">
        <f t="shared" si="181"/>
        <v>3.8000000000000007</v>
      </c>
      <c r="EV91" s="14">
        <f t="shared" si="181"/>
        <v>3.8000000000000007</v>
      </c>
      <c r="EW91" s="14">
        <f t="shared" si="181"/>
        <v>3.8000000000000007</v>
      </c>
      <c r="EX91" s="14">
        <f t="shared" si="181"/>
        <v>3.8000000000000007</v>
      </c>
      <c r="EY91" s="14">
        <f t="shared" si="181"/>
        <v>3.8000000000000007</v>
      </c>
      <c r="EZ91" s="14">
        <f t="shared" si="181"/>
        <v>3.8000000000000007</v>
      </c>
      <c r="FA91" s="14">
        <f t="shared" si="181"/>
        <v>3.8000000000000007</v>
      </c>
      <c r="FB91" s="14">
        <f t="shared" si="181"/>
        <v>0</v>
      </c>
      <c r="FC91" s="14">
        <f t="shared" si="181"/>
        <v>0</v>
      </c>
      <c r="FD91" s="14">
        <f t="shared" si="181"/>
        <v>0</v>
      </c>
      <c r="FE91" s="14">
        <f t="shared" si="181"/>
        <v>0</v>
      </c>
      <c r="FF91" s="14">
        <f t="shared" si="181"/>
        <v>0</v>
      </c>
      <c r="FG91" s="14">
        <f t="shared" si="181"/>
        <v>0</v>
      </c>
      <c r="FH91" s="14">
        <f t="shared" si="181"/>
        <v>0</v>
      </c>
      <c r="FI91" s="14">
        <f t="shared" si="181"/>
        <v>0</v>
      </c>
      <c r="FJ91" s="14">
        <f t="shared" si="181"/>
        <v>0</v>
      </c>
      <c r="FK91" s="14">
        <f t="shared" si="181"/>
        <v>0</v>
      </c>
      <c r="FL91" s="14">
        <f t="shared" si="181"/>
        <v>0</v>
      </c>
      <c r="FM91" s="14">
        <f t="shared" si="181"/>
        <v>0</v>
      </c>
      <c r="FN91" s="14">
        <f t="shared" si="181"/>
        <v>0</v>
      </c>
      <c r="FO91" s="14">
        <f t="shared" si="181"/>
        <v>0</v>
      </c>
      <c r="FP91" s="14">
        <f t="shared" si="181"/>
        <v>0</v>
      </c>
      <c r="FQ91" s="14">
        <f t="shared" si="181"/>
        <v>0</v>
      </c>
      <c r="FR91" s="14">
        <f t="shared" si="181"/>
        <v>0</v>
      </c>
      <c r="FS91" s="14">
        <f t="shared" si="181"/>
        <v>0</v>
      </c>
      <c r="FT91" s="14">
        <f t="shared" si="181"/>
        <v>0</v>
      </c>
      <c r="FU91" s="14">
        <f t="shared" si="181"/>
        <v>0</v>
      </c>
      <c r="FV91" s="14">
        <f t="shared" si="181"/>
        <v>0</v>
      </c>
      <c r="FW91" s="14">
        <f t="shared" si="181"/>
        <v>0</v>
      </c>
      <c r="FX91" s="14">
        <f t="shared" si="181"/>
        <v>0</v>
      </c>
      <c r="FY91" s="14">
        <f t="shared" si="181"/>
        <v>0</v>
      </c>
      <c r="FZ91" s="14">
        <f t="shared" si="181"/>
        <v>0</v>
      </c>
      <c r="GA91" s="14">
        <f t="shared" si="181"/>
        <v>0</v>
      </c>
      <c r="GB91" s="14">
        <f t="shared" si="181"/>
        <v>0</v>
      </c>
      <c r="GC91" s="14">
        <f t="shared" si="181"/>
        <v>0</v>
      </c>
      <c r="GD91" s="14">
        <f t="shared" si="181"/>
        <v>0</v>
      </c>
      <c r="GE91" s="14">
        <f t="shared" si="181"/>
        <v>0</v>
      </c>
      <c r="GF91" s="14">
        <f t="shared" si="181"/>
        <v>0</v>
      </c>
      <c r="GG91" s="14">
        <f t="shared" si="181"/>
        <v>0</v>
      </c>
      <c r="GH91" s="14">
        <f t="shared" si="181"/>
        <v>0</v>
      </c>
      <c r="GI91" s="14">
        <f t="shared" si="181"/>
        <v>0</v>
      </c>
      <c r="GJ91" s="14">
        <f t="shared" si="181"/>
        <v>0</v>
      </c>
      <c r="GK91" s="14">
        <f t="shared" si="181"/>
        <v>0</v>
      </c>
      <c r="GL91" s="14">
        <f t="shared" si="181"/>
        <v>0</v>
      </c>
      <c r="GM91" s="14">
        <f t="shared" si="181"/>
        <v>0</v>
      </c>
      <c r="GN91" s="14">
        <f t="shared" si="181"/>
        <v>0</v>
      </c>
      <c r="GO91" s="14">
        <f t="shared" si="181"/>
        <v>0</v>
      </c>
    </row>
    <row r="92" spans="1:197" ht="15">
      <c r="A92" s="4"/>
      <c r="B92" s="4"/>
      <c r="C92" s="12" t="s">
        <v>218</v>
      </c>
      <c r="D92" s="16">
        <f>D91-D90</f>
        <v>3.1</v>
      </c>
      <c r="E92" s="16">
        <f>E91-E90</f>
        <v>3.1</v>
      </c>
      <c r="F92" s="16">
        <f aca="true" t="shared" si="182" ref="F92:BQ92">F91-F90</f>
        <v>3.1</v>
      </c>
      <c r="G92" s="16">
        <f t="shared" si="182"/>
        <v>3.1</v>
      </c>
      <c r="H92" s="16">
        <f t="shared" si="182"/>
        <v>0</v>
      </c>
      <c r="I92" s="16">
        <f t="shared" si="182"/>
        <v>0</v>
      </c>
      <c r="J92" s="16">
        <f t="shared" si="182"/>
        <v>0</v>
      </c>
      <c r="K92" s="16">
        <f t="shared" si="182"/>
        <v>0</v>
      </c>
      <c r="L92" s="16">
        <f t="shared" si="182"/>
        <v>0</v>
      </c>
      <c r="M92" s="16">
        <f t="shared" si="182"/>
        <v>0</v>
      </c>
      <c r="N92" s="16">
        <f t="shared" si="182"/>
        <v>0</v>
      </c>
      <c r="O92" s="17">
        <f t="shared" si="182"/>
        <v>0</v>
      </c>
      <c r="P92" s="16">
        <f t="shared" si="182"/>
        <v>0</v>
      </c>
      <c r="Q92" s="16">
        <f t="shared" si="182"/>
        <v>0</v>
      </c>
      <c r="R92" s="16">
        <f t="shared" si="182"/>
        <v>0</v>
      </c>
      <c r="S92" s="16">
        <f t="shared" si="182"/>
        <v>0</v>
      </c>
      <c r="T92" s="16">
        <f t="shared" si="182"/>
        <v>0</v>
      </c>
      <c r="U92" s="16">
        <f t="shared" si="182"/>
        <v>0</v>
      </c>
      <c r="V92" s="16">
        <f t="shared" si="182"/>
        <v>0</v>
      </c>
      <c r="W92" s="16">
        <f t="shared" si="182"/>
        <v>0</v>
      </c>
      <c r="X92" s="17">
        <f t="shared" si="182"/>
        <v>0</v>
      </c>
      <c r="Y92" s="16">
        <f t="shared" si="182"/>
        <v>3.9</v>
      </c>
      <c r="Z92" s="16">
        <f t="shared" si="182"/>
        <v>3.9</v>
      </c>
      <c r="AA92" s="16">
        <f t="shared" si="182"/>
        <v>3.9</v>
      </c>
      <c r="AB92" s="16">
        <f t="shared" si="182"/>
        <v>3.9</v>
      </c>
      <c r="AC92" s="16">
        <f t="shared" si="182"/>
        <v>3.9</v>
      </c>
      <c r="AD92" s="16">
        <f t="shared" si="182"/>
        <v>3.9</v>
      </c>
      <c r="AE92" s="16">
        <f t="shared" si="182"/>
        <v>3.9</v>
      </c>
      <c r="AF92" s="16">
        <f t="shared" si="182"/>
        <v>3.9</v>
      </c>
      <c r="AG92" s="16">
        <f t="shared" si="182"/>
        <v>3.9</v>
      </c>
      <c r="AH92" s="16">
        <f t="shared" si="182"/>
        <v>3.9</v>
      </c>
      <c r="AI92" s="16">
        <f t="shared" si="182"/>
        <v>3.9</v>
      </c>
      <c r="AJ92" s="16">
        <f t="shared" si="182"/>
        <v>3.9</v>
      </c>
      <c r="AK92" s="16">
        <f t="shared" si="182"/>
        <v>3.9</v>
      </c>
      <c r="AL92" s="16">
        <f t="shared" si="182"/>
        <v>3.9</v>
      </c>
      <c r="AM92" s="16">
        <f t="shared" si="182"/>
        <v>3.9</v>
      </c>
      <c r="AN92" s="16">
        <f t="shared" si="182"/>
        <v>3.9</v>
      </c>
      <c r="AO92" s="16">
        <f t="shared" si="182"/>
        <v>3.9</v>
      </c>
      <c r="AP92" s="16">
        <f t="shared" si="182"/>
        <v>0</v>
      </c>
      <c r="AQ92" s="16">
        <f t="shared" si="182"/>
        <v>0</v>
      </c>
      <c r="AR92" s="16">
        <f t="shared" si="182"/>
        <v>6.5</v>
      </c>
      <c r="AS92" s="16">
        <f t="shared" si="182"/>
        <v>6.5</v>
      </c>
      <c r="AT92" s="16">
        <f t="shared" si="182"/>
        <v>6.5</v>
      </c>
      <c r="AU92" s="16">
        <f t="shared" si="182"/>
        <v>6.5</v>
      </c>
      <c r="AV92" s="16">
        <f t="shared" si="182"/>
        <v>6.5</v>
      </c>
      <c r="AW92" s="16">
        <f t="shared" si="182"/>
        <v>6.5</v>
      </c>
      <c r="AX92" s="16">
        <f t="shared" si="182"/>
        <v>6.5</v>
      </c>
      <c r="AY92" s="16">
        <f t="shared" si="182"/>
        <v>6.5</v>
      </c>
      <c r="AZ92" s="16">
        <f t="shared" si="182"/>
        <v>0</v>
      </c>
      <c r="BA92" s="16">
        <f t="shared" si="182"/>
        <v>0</v>
      </c>
      <c r="BB92" s="16">
        <f t="shared" si="182"/>
        <v>0</v>
      </c>
      <c r="BC92" s="16">
        <f t="shared" si="182"/>
        <v>0</v>
      </c>
      <c r="BD92" s="16">
        <f t="shared" si="182"/>
        <v>0</v>
      </c>
      <c r="BE92" s="16">
        <f t="shared" si="182"/>
        <v>0</v>
      </c>
      <c r="BF92" s="16">
        <f t="shared" si="182"/>
        <v>0</v>
      </c>
      <c r="BG92" s="16">
        <f t="shared" si="182"/>
        <v>0</v>
      </c>
      <c r="BH92" s="16">
        <f t="shared" si="182"/>
        <v>0</v>
      </c>
      <c r="BI92" s="16">
        <f t="shared" si="182"/>
        <v>0</v>
      </c>
      <c r="BJ92" s="16">
        <f t="shared" si="182"/>
        <v>0</v>
      </c>
      <c r="BK92" s="16">
        <f t="shared" si="182"/>
        <v>0</v>
      </c>
      <c r="BL92" s="16">
        <f t="shared" si="182"/>
        <v>0</v>
      </c>
      <c r="BM92" s="16">
        <f t="shared" si="182"/>
        <v>0</v>
      </c>
      <c r="BN92" s="16">
        <f t="shared" si="182"/>
        <v>0</v>
      </c>
      <c r="BO92" s="16">
        <f t="shared" si="182"/>
        <v>0</v>
      </c>
      <c r="BP92" s="16">
        <f t="shared" si="182"/>
        <v>0</v>
      </c>
      <c r="BQ92" s="16">
        <f t="shared" si="182"/>
        <v>0</v>
      </c>
      <c r="BR92" s="16">
        <f aca="true" t="shared" si="183" ref="BR92:EC92">BR91-BR90</f>
        <v>0</v>
      </c>
      <c r="BS92" s="16">
        <f t="shared" si="183"/>
        <v>0</v>
      </c>
      <c r="BT92" s="27">
        <f t="shared" si="183"/>
        <v>0</v>
      </c>
      <c r="BU92" s="27">
        <f t="shared" si="183"/>
        <v>0</v>
      </c>
      <c r="BV92" s="27">
        <f t="shared" si="183"/>
        <v>4.7</v>
      </c>
      <c r="BW92" s="16">
        <f t="shared" si="183"/>
        <v>4.7</v>
      </c>
      <c r="BX92" s="16">
        <f t="shared" si="183"/>
        <v>4.7</v>
      </c>
      <c r="BY92" s="16">
        <f t="shared" si="183"/>
        <v>4.7</v>
      </c>
      <c r="BZ92" s="16">
        <f t="shared" si="183"/>
        <v>4.7</v>
      </c>
      <c r="CA92" s="16">
        <f t="shared" si="183"/>
        <v>4.7</v>
      </c>
      <c r="CB92" s="16">
        <f t="shared" si="183"/>
        <v>4.7</v>
      </c>
      <c r="CC92" s="16">
        <f t="shared" si="183"/>
        <v>4.7</v>
      </c>
      <c r="CD92" s="16">
        <f t="shared" si="183"/>
        <v>4.7</v>
      </c>
      <c r="CE92" s="16">
        <f t="shared" si="183"/>
        <v>4.7</v>
      </c>
      <c r="CF92" s="16">
        <f t="shared" si="183"/>
        <v>4.7</v>
      </c>
      <c r="CG92" s="16">
        <f t="shared" si="183"/>
        <v>4.7</v>
      </c>
      <c r="CH92" s="16">
        <f t="shared" si="183"/>
        <v>4.7</v>
      </c>
      <c r="CI92" s="16">
        <f t="shared" si="183"/>
        <v>4.7</v>
      </c>
      <c r="CJ92" s="16">
        <f t="shared" si="183"/>
        <v>4.7</v>
      </c>
      <c r="CK92" s="16">
        <f t="shared" si="183"/>
        <v>4.7</v>
      </c>
      <c r="CL92" s="16">
        <f t="shared" si="183"/>
        <v>4.7</v>
      </c>
      <c r="CM92" s="16">
        <f t="shared" si="183"/>
        <v>4.7</v>
      </c>
      <c r="CN92" s="16">
        <f t="shared" si="183"/>
        <v>4.7</v>
      </c>
      <c r="CO92" s="16">
        <f t="shared" si="183"/>
        <v>4.7</v>
      </c>
      <c r="CP92" s="16">
        <f t="shared" si="183"/>
        <v>0</v>
      </c>
      <c r="CQ92" s="16">
        <f t="shared" si="183"/>
        <v>0</v>
      </c>
      <c r="CR92" s="16">
        <f t="shared" si="183"/>
        <v>7.2</v>
      </c>
      <c r="CS92" s="16">
        <f t="shared" si="183"/>
        <v>7.2</v>
      </c>
      <c r="CT92" s="16">
        <f t="shared" si="183"/>
        <v>7.2</v>
      </c>
      <c r="CU92" s="16">
        <f t="shared" si="183"/>
        <v>7.2</v>
      </c>
      <c r="CV92" s="16">
        <f t="shared" si="183"/>
        <v>7.2</v>
      </c>
      <c r="CW92" s="16">
        <f t="shared" si="183"/>
        <v>7.2</v>
      </c>
      <c r="CX92" s="16">
        <f t="shared" si="183"/>
        <v>7.2</v>
      </c>
      <c r="CY92" s="16">
        <f t="shared" si="183"/>
        <v>7.2</v>
      </c>
      <c r="CZ92" s="16">
        <f t="shared" si="183"/>
        <v>3.8000000000000003</v>
      </c>
      <c r="DA92" s="16">
        <f t="shared" si="183"/>
        <v>3.8000000000000003</v>
      </c>
      <c r="DB92" s="16">
        <f t="shared" si="183"/>
        <v>3.8000000000000003</v>
      </c>
      <c r="DC92" s="16">
        <f t="shared" si="183"/>
        <v>3.8000000000000003</v>
      </c>
      <c r="DD92" s="16">
        <f t="shared" si="183"/>
        <v>3.8000000000000003</v>
      </c>
      <c r="DE92" s="16">
        <f t="shared" si="183"/>
        <v>3.8000000000000003</v>
      </c>
      <c r="DF92" s="16">
        <f t="shared" si="183"/>
        <v>3.8000000000000003</v>
      </c>
      <c r="DG92" s="16">
        <f t="shared" si="183"/>
        <v>3.8000000000000003</v>
      </c>
      <c r="DH92" s="16">
        <f t="shared" si="183"/>
        <v>3.8000000000000003</v>
      </c>
      <c r="DI92" s="16">
        <f t="shared" si="183"/>
        <v>3.8000000000000003</v>
      </c>
      <c r="DJ92" s="16">
        <f t="shared" si="183"/>
        <v>3.8000000000000003</v>
      </c>
      <c r="DK92" s="16">
        <f t="shared" si="183"/>
        <v>3.8000000000000003</v>
      </c>
      <c r="DL92" s="16">
        <f t="shared" si="183"/>
        <v>3.8000000000000003</v>
      </c>
      <c r="DM92" s="16">
        <f t="shared" si="183"/>
        <v>3.8000000000000003</v>
      </c>
      <c r="DN92" s="16">
        <f t="shared" si="183"/>
        <v>3.8000000000000003</v>
      </c>
      <c r="DO92" s="16">
        <f t="shared" si="183"/>
        <v>3.8000000000000003</v>
      </c>
      <c r="DP92" s="17">
        <f t="shared" si="183"/>
        <v>3.8000000000000003</v>
      </c>
      <c r="DQ92" s="17">
        <f t="shared" si="183"/>
        <v>3.8000000000000003</v>
      </c>
      <c r="DR92" s="17">
        <f t="shared" si="183"/>
        <v>3.8000000000000003</v>
      </c>
      <c r="DS92" s="17">
        <f t="shared" si="183"/>
        <v>10.8</v>
      </c>
      <c r="DT92" s="17">
        <f t="shared" si="183"/>
        <v>10.8</v>
      </c>
      <c r="DU92" s="16">
        <f t="shared" si="183"/>
        <v>10.8</v>
      </c>
      <c r="DV92" s="16">
        <f t="shared" si="183"/>
        <v>10.8</v>
      </c>
      <c r="DW92" s="16">
        <f t="shared" si="183"/>
        <v>10.8</v>
      </c>
      <c r="DX92" s="16">
        <f t="shared" si="183"/>
        <v>10.8</v>
      </c>
      <c r="DY92" s="16">
        <f t="shared" si="183"/>
        <v>10.8</v>
      </c>
      <c r="DZ92" s="16">
        <f t="shared" si="183"/>
        <v>10.8</v>
      </c>
      <c r="EA92" s="16">
        <f t="shared" si="183"/>
        <v>10.8</v>
      </c>
      <c r="EB92" s="16">
        <f t="shared" si="183"/>
        <v>10.8</v>
      </c>
      <c r="EC92" s="16">
        <f t="shared" si="183"/>
        <v>10.8</v>
      </c>
      <c r="ED92" s="16">
        <f aca="true" t="shared" si="184" ref="ED92:GO92">ED91-ED90</f>
        <v>10.8</v>
      </c>
      <c r="EE92" s="16">
        <f t="shared" si="184"/>
        <v>10.8</v>
      </c>
      <c r="EF92" s="16">
        <f t="shared" si="184"/>
        <v>10.8</v>
      </c>
      <c r="EG92" s="16">
        <f t="shared" si="184"/>
        <v>10.8</v>
      </c>
      <c r="EH92" s="16">
        <f t="shared" si="184"/>
        <v>10.8</v>
      </c>
      <c r="EI92" s="16">
        <f t="shared" si="184"/>
        <v>10.8</v>
      </c>
      <c r="EJ92" s="16">
        <f t="shared" si="184"/>
        <v>10.8</v>
      </c>
      <c r="EK92" s="16">
        <f t="shared" si="184"/>
        <v>10.8</v>
      </c>
      <c r="EL92" s="16">
        <f t="shared" si="184"/>
        <v>10.8</v>
      </c>
      <c r="EM92" s="16">
        <f t="shared" si="184"/>
        <v>10.8</v>
      </c>
      <c r="EN92" s="16">
        <f t="shared" si="184"/>
        <v>10.8</v>
      </c>
      <c r="EO92" s="16">
        <f t="shared" si="184"/>
        <v>10.8</v>
      </c>
      <c r="EP92" s="16">
        <f t="shared" si="184"/>
        <v>3.8000000000000007</v>
      </c>
      <c r="EQ92" s="16">
        <f t="shared" si="184"/>
        <v>3.8000000000000007</v>
      </c>
      <c r="ER92" s="16">
        <f t="shared" si="184"/>
        <v>3.8000000000000007</v>
      </c>
      <c r="ES92" s="16">
        <f t="shared" si="184"/>
        <v>3.8000000000000007</v>
      </c>
      <c r="ET92" s="16">
        <f t="shared" si="184"/>
        <v>3.8000000000000007</v>
      </c>
      <c r="EU92" s="16">
        <f t="shared" si="184"/>
        <v>3.8000000000000007</v>
      </c>
      <c r="EV92" s="16">
        <f t="shared" si="184"/>
        <v>3.8000000000000007</v>
      </c>
      <c r="EW92" s="16">
        <f t="shared" si="184"/>
        <v>3.8000000000000007</v>
      </c>
      <c r="EX92" s="16">
        <f t="shared" si="184"/>
        <v>3.8000000000000007</v>
      </c>
      <c r="EY92" s="16">
        <f t="shared" si="184"/>
        <v>3.8000000000000007</v>
      </c>
      <c r="EZ92" s="16">
        <f t="shared" si="184"/>
        <v>3.8000000000000007</v>
      </c>
      <c r="FA92" s="16">
        <f t="shared" si="184"/>
        <v>0</v>
      </c>
      <c r="FB92" s="16">
        <f t="shared" si="184"/>
        <v>0</v>
      </c>
      <c r="FC92" s="16">
        <f t="shared" si="184"/>
        <v>0</v>
      </c>
      <c r="FD92" s="16">
        <f t="shared" si="184"/>
        <v>0</v>
      </c>
      <c r="FE92" s="16">
        <f t="shared" si="184"/>
        <v>0</v>
      </c>
      <c r="FF92" s="16">
        <f t="shared" si="184"/>
        <v>0</v>
      </c>
      <c r="FG92" s="16">
        <f t="shared" si="184"/>
        <v>0</v>
      </c>
      <c r="FH92" s="16">
        <f t="shared" si="184"/>
        <v>0</v>
      </c>
      <c r="FI92" s="16">
        <f t="shared" si="184"/>
        <v>0</v>
      </c>
      <c r="FJ92" s="16">
        <f t="shared" si="184"/>
        <v>0</v>
      </c>
      <c r="FK92" s="16">
        <f t="shared" si="184"/>
        <v>0</v>
      </c>
      <c r="FL92" s="16">
        <f t="shared" si="184"/>
        <v>0</v>
      </c>
      <c r="FM92" s="16">
        <f t="shared" si="184"/>
        <v>0</v>
      </c>
      <c r="FN92" s="16">
        <f t="shared" si="184"/>
        <v>0</v>
      </c>
      <c r="FO92" s="16">
        <f t="shared" si="184"/>
        <v>0</v>
      </c>
      <c r="FP92" s="16">
        <f t="shared" si="184"/>
        <v>0</v>
      </c>
      <c r="FQ92" s="16">
        <f t="shared" si="184"/>
        <v>0</v>
      </c>
      <c r="FR92" s="16">
        <f t="shared" si="184"/>
        <v>0</v>
      </c>
      <c r="FS92" s="16">
        <f t="shared" si="184"/>
        <v>0</v>
      </c>
      <c r="FT92" s="16">
        <f t="shared" si="184"/>
        <v>0</v>
      </c>
      <c r="FU92" s="16">
        <f t="shared" si="184"/>
        <v>0</v>
      </c>
      <c r="FV92" s="16">
        <f t="shared" si="184"/>
        <v>0</v>
      </c>
      <c r="FW92" s="16">
        <f t="shared" si="184"/>
        <v>0</v>
      </c>
      <c r="FX92" s="16">
        <f t="shared" si="184"/>
        <v>0</v>
      </c>
      <c r="FY92" s="16">
        <f t="shared" si="184"/>
        <v>0</v>
      </c>
      <c r="FZ92" s="16">
        <f t="shared" si="184"/>
        <v>0</v>
      </c>
      <c r="GA92" s="16">
        <f t="shared" si="184"/>
        <v>0</v>
      </c>
      <c r="GB92" s="16">
        <f t="shared" si="184"/>
        <v>0</v>
      </c>
      <c r="GC92" s="16">
        <f t="shared" si="184"/>
        <v>0</v>
      </c>
      <c r="GD92" s="16">
        <f t="shared" si="184"/>
        <v>0</v>
      </c>
      <c r="GE92" s="16">
        <f t="shared" si="184"/>
        <v>0</v>
      </c>
      <c r="GF92" s="16">
        <f t="shared" si="184"/>
        <v>0</v>
      </c>
      <c r="GG92" s="16">
        <f t="shared" si="184"/>
        <v>0</v>
      </c>
      <c r="GH92" s="16">
        <f t="shared" si="184"/>
        <v>0</v>
      </c>
      <c r="GI92" s="16">
        <f t="shared" si="184"/>
        <v>0</v>
      </c>
      <c r="GJ92" s="16">
        <f t="shared" si="184"/>
        <v>0</v>
      </c>
      <c r="GK92" s="16">
        <f t="shared" si="184"/>
        <v>0</v>
      </c>
      <c r="GL92" s="16">
        <f t="shared" si="184"/>
        <v>0</v>
      </c>
      <c r="GM92" s="16">
        <f t="shared" si="184"/>
        <v>0</v>
      </c>
      <c r="GN92" s="16">
        <f t="shared" si="184"/>
        <v>0</v>
      </c>
      <c r="GO92" s="16">
        <f t="shared" si="184"/>
        <v>0</v>
      </c>
    </row>
    <row r="93" spans="1:256" s="9" customFormat="1" ht="15">
      <c r="A93" s="4" t="s">
        <v>251</v>
      </c>
      <c r="B93" s="4"/>
      <c r="C93" s="12" t="s">
        <v>216</v>
      </c>
      <c r="F93" s="19">
        <v>3.8</v>
      </c>
      <c r="O93" s="29"/>
      <c r="X93" s="29"/>
      <c r="AE93" s="19">
        <v>5.5</v>
      </c>
      <c r="AN93" s="19">
        <v>8.8</v>
      </c>
      <c r="BB93" s="30">
        <v>5.5</v>
      </c>
      <c r="BT93" s="31"/>
      <c r="BU93" s="31"/>
      <c r="BV93" s="31"/>
      <c r="CP93" s="19">
        <v>5.5</v>
      </c>
      <c r="DP93" s="19">
        <v>5.5</v>
      </c>
      <c r="DQ93" s="29"/>
      <c r="DR93" s="29"/>
      <c r="DS93" s="29"/>
      <c r="DT93" s="29"/>
      <c r="EP93" s="19">
        <v>5.5</v>
      </c>
      <c r="FR93" s="9">
        <v>5.5</v>
      </c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197" ht="15">
      <c r="A94" s="55" t="s">
        <v>252</v>
      </c>
      <c r="B94" s="55"/>
      <c r="C94" s="12" t="s">
        <v>217</v>
      </c>
      <c r="D94" s="14">
        <v>9.3</v>
      </c>
      <c r="E94" s="14">
        <f>D95</f>
        <v>9.3</v>
      </c>
      <c r="F94" s="14">
        <f aca="true" t="shared" si="185" ref="F94:BQ94">E95</f>
        <v>9.3</v>
      </c>
      <c r="G94" s="14">
        <f t="shared" si="185"/>
        <v>5.500000000000001</v>
      </c>
      <c r="H94" s="14">
        <f t="shared" si="185"/>
        <v>5.500000000000001</v>
      </c>
      <c r="I94" s="14">
        <f t="shared" si="185"/>
        <v>5.500000000000001</v>
      </c>
      <c r="J94" s="14">
        <f t="shared" si="185"/>
        <v>5.500000000000001</v>
      </c>
      <c r="K94" s="14">
        <f t="shared" si="185"/>
        <v>5.500000000000001</v>
      </c>
      <c r="L94" s="14">
        <f t="shared" si="185"/>
        <v>5.500000000000001</v>
      </c>
      <c r="M94" s="14">
        <f t="shared" si="185"/>
        <v>5.500000000000001</v>
      </c>
      <c r="N94" s="14">
        <f t="shared" si="185"/>
        <v>5.500000000000001</v>
      </c>
      <c r="O94" s="15">
        <f t="shared" si="185"/>
        <v>5.500000000000001</v>
      </c>
      <c r="P94" s="14">
        <f t="shared" si="185"/>
        <v>5.500000000000001</v>
      </c>
      <c r="Q94" s="14">
        <f t="shared" si="185"/>
        <v>5.500000000000001</v>
      </c>
      <c r="R94" s="14">
        <f>Q95+5.5</f>
        <v>11</v>
      </c>
      <c r="S94" s="14">
        <f t="shared" si="185"/>
        <v>11</v>
      </c>
      <c r="T94" s="14">
        <f t="shared" si="185"/>
        <v>11</v>
      </c>
      <c r="U94" s="14">
        <f t="shared" si="185"/>
        <v>11</v>
      </c>
      <c r="V94" s="14">
        <f t="shared" si="185"/>
        <v>11</v>
      </c>
      <c r="W94" s="14">
        <f t="shared" si="185"/>
        <v>11</v>
      </c>
      <c r="X94" s="15">
        <f t="shared" si="185"/>
        <v>11</v>
      </c>
      <c r="Y94" s="14">
        <f t="shared" si="185"/>
        <v>11</v>
      </c>
      <c r="Z94" s="14">
        <f t="shared" si="185"/>
        <v>11</v>
      </c>
      <c r="AA94" s="14">
        <f t="shared" si="185"/>
        <v>11</v>
      </c>
      <c r="AB94" s="14">
        <f t="shared" si="185"/>
        <v>11</v>
      </c>
      <c r="AC94" s="14">
        <f t="shared" si="185"/>
        <v>11</v>
      </c>
      <c r="AD94" s="14">
        <f t="shared" si="185"/>
        <v>11</v>
      </c>
      <c r="AE94" s="14">
        <f t="shared" si="185"/>
        <v>11</v>
      </c>
      <c r="AF94" s="14">
        <f t="shared" si="185"/>
        <v>5.5</v>
      </c>
      <c r="AG94" s="14">
        <f t="shared" si="185"/>
        <v>5.5</v>
      </c>
      <c r="AH94" s="14">
        <f t="shared" si="185"/>
        <v>5.5</v>
      </c>
      <c r="AI94" s="14">
        <f t="shared" si="185"/>
        <v>5.5</v>
      </c>
      <c r="AJ94" s="14">
        <f t="shared" si="185"/>
        <v>5.5</v>
      </c>
      <c r="AK94" s="14">
        <f t="shared" si="185"/>
        <v>5.5</v>
      </c>
      <c r="AL94" s="14">
        <f t="shared" si="185"/>
        <v>5.5</v>
      </c>
      <c r="AM94" s="14">
        <f t="shared" si="185"/>
        <v>5.5</v>
      </c>
      <c r="AN94" s="14">
        <f>AM95+3.3</f>
        <v>8.8</v>
      </c>
      <c r="AO94" s="14">
        <f t="shared" si="185"/>
        <v>0</v>
      </c>
      <c r="AP94" s="14">
        <f t="shared" si="185"/>
        <v>0</v>
      </c>
      <c r="AQ94" s="14">
        <f t="shared" si="185"/>
        <v>0</v>
      </c>
      <c r="AR94" s="14">
        <f>AQ95+5.5</f>
        <v>5.5</v>
      </c>
      <c r="AS94" s="14">
        <f t="shared" si="185"/>
        <v>5.5</v>
      </c>
      <c r="AT94" s="14">
        <f t="shared" si="185"/>
        <v>5.5</v>
      </c>
      <c r="AU94" s="14">
        <f t="shared" si="185"/>
        <v>5.5</v>
      </c>
      <c r="AV94" s="14">
        <f t="shared" si="185"/>
        <v>5.5</v>
      </c>
      <c r="AW94" s="14">
        <f t="shared" si="185"/>
        <v>5.5</v>
      </c>
      <c r="AX94" s="14">
        <f t="shared" si="185"/>
        <v>5.5</v>
      </c>
      <c r="AY94" s="14">
        <f t="shared" si="185"/>
        <v>5.5</v>
      </c>
      <c r="AZ94" s="14">
        <f t="shared" si="185"/>
        <v>5.5</v>
      </c>
      <c r="BA94" s="14">
        <f t="shared" si="185"/>
        <v>5.5</v>
      </c>
      <c r="BB94" s="14">
        <f t="shared" si="185"/>
        <v>5.5</v>
      </c>
      <c r="BC94" s="14">
        <f t="shared" si="185"/>
        <v>0</v>
      </c>
      <c r="BD94" s="14">
        <f t="shared" si="185"/>
        <v>0</v>
      </c>
      <c r="BE94" s="14">
        <f t="shared" si="185"/>
        <v>0</v>
      </c>
      <c r="BF94" s="14">
        <f t="shared" si="185"/>
        <v>0</v>
      </c>
      <c r="BG94" s="14">
        <f t="shared" si="185"/>
        <v>0</v>
      </c>
      <c r="BH94" s="14">
        <f t="shared" si="185"/>
        <v>0</v>
      </c>
      <c r="BI94" s="14">
        <f t="shared" si="185"/>
        <v>0</v>
      </c>
      <c r="BJ94" s="14">
        <f t="shared" si="185"/>
        <v>0</v>
      </c>
      <c r="BK94" s="14">
        <f t="shared" si="185"/>
        <v>0</v>
      </c>
      <c r="BL94" s="14">
        <f t="shared" si="185"/>
        <v>0</v>
      </c>
      <c r="BM94" s="14">
        <f t="shared" si="185"/>
        <v>0</v>
      </c>
      <c r="BN94" s="14">
        <f t="shared" si="185"/>
        <v>0</v>
      </c>
      <c r="BO94" s="14">
        <f t="shared" si="185"/>
        <v>0</v>
      </c>
      <c r="BP94" s="14">
        <f t="shared" si="185"/>
        <v>0</v>
      </c>
      <c r="BQ94" s="14">
        <f t="shared" si="185"/>
        <v>0</v>
      </c>
      <c r="BR94" s="14">
        <f>BQ95+5.5</f>
        <v>5.5</v>
      </c>
      <c r="BS94" s="14">
        <f aca="true" t="shared" si="186" ref="BS94:EC94">BR95</f>
        <v>5.5</v>
      </c>
      <c r="BT94" s="26">
        <f t="shared" si="186"/>
        <v>5.5</v>
      </c>
      <c r="BU94" s="26">
        <f t="shared" si="186"/>
        <v>5.5</v>
      </c>
      <c r="BV94" s="26">
        <f t="shared" si="186"/>
        <v>5.5</v>
      </c>
      <c r="BW94" s="14">
        <f t="shared" si="186"/>
        <v>5.5</v>
      </c>
      <c r="BX94" s="14">
        <f t="shared" si="186"/>
        <v>5.5</v>
      </c>
      <c r="BY94" s="14">
        <f t="shared" si="186"/>
        <v>5.5</v>
      </c>
      <c r="BZ94" s="14">
        <f t="shared" si="186"/>
        <v>5.5</v>
      </c>
      <c r="CA94" s="14">
        <f t="shared" si="186"/>
        <v>5.5</v>
      </c>
      <c r="CB94" s="14">
        <f t="shared" si="186"/>
        <v>5.5</v>
      </c>
      <c r="CC94" s="14">
        <f t="shared" si="186"/>
        <v>5.5</v>
      </c>
      <c r="CD94" s="14">
        <f t="shared" si="186"/>
        <v>5.5</v>
      </c>
      <c r="CE94" s="14">
        <f t="shared" si="186"/>
        <v>5.5</v>
      </c>
      <c r="CF94" s="14">
        <f t="shared" si="186"/>
        <v>5.5</v>
      </c>
      <c r="CG94" s="14">
        <f t="shared" si="186"/>
        <v>5.5</v>
      </c>
      <c r="CH94" s="14">
        <f t="shared" si="186"/>
        <v>5.5</v>
      </c>
      <c r="CI94" s="14">
        <f t="shared" si="186"/>
        <v>5.5</v>
      </c>
      <c r="CJ94" s="14">
        <f t="shared" si="186"/>
        <v>5.5</v>
      </c>
      <c r="CK94" s="14">
        <f t="shared" si="186"/>
        <v>5.5</v>
      </c>
      <c r="CL94" s="14">
        <f t="shared" si="186"/>
        <v>5.5</v>
      </c>
      <c r="CM94" s="14">
        <f t="shared" si="186"/>
        <v>5.5</v>
      </c>
      <c r="CN94" s="14">
        <f t="shared" si="186"/>
        <v>5.5</v>
      </c>
      <c r="CO94" s="14">
        <f>CN95+5.5</f>
        <v>11</v>
      </c>
      <c r="CP94" s="14">
        <f t="shared" si="186"/>
        <v>11</v>
      </c>
      <c r="CQ94" s="14">
        <f t="shared" si="186"/>
        <v>5.5</v>
      </c>
      <c r="CR94" s="14">
        <f t="shared" si="186"/>
        <v>5.5</v>
      </c>
      <c r="CS94" s="14">
        <f t="shared" si="186"/>
        <v>5.5</v>
      </c>
      <c r="CT94" s="14">
        <f t="shared" si="186"/>
        <v>5.5</v>
      </c>
      <c r="CU94" s="14">
        <f t="shared" si="186"/>
        <v>5.5</v>
      </c>
      <c r="CV94" s="14">
        <f t="shared" si="186"/>
        <v>5.5</v>
      </c>
      <c r="CW94" s="14">
        <f t="shared" si="186"/>
        <v>5.5</v>
      </c>
      <c r="CX94" s="14">
        <f t="shared" si="186"/>
        <v>5.5</v>
      </c>
      <c r="CY94" s="14">
        <f t="shared" si="186"/>
        <v>5.5</v>
      </c>
      <c r="CZ94" s="14">
        <f t="shared" si="186"/>
        <v>5.5</v>
      </c>
      <c r="DA94" s="14">
        <f t="shared" si="186"/>
        <v>5.5</v>
      </c>
      <c r="DB94" s="14">
        <f t="shared" si="186"/>
        <v>5.5</v>
      </c>
      <c r="DC94" s="14">
        <f t="shared" si="186"/>
        <v>5.5</v>
      </c>
      <c r="DD94" s="14">
        <f t="shared" si="186"/>
        <v>5.5</v>
      </c>
      <c r="DE94" s="14">
        <f t="shared" si="186"/>
        <v>5.5</v>
      </c>
      <c r="DF94" s="14">
        <f t="shared" si="186"/>
        <v>5.5</v>
      </c>
      <c r="DG94" s="14">
        <f t="shared" si="186"/>
        <v>5.5</v>
      </c>
      <c r="DH94" s="14">
        <f t="shared" si="186"/>
        <v>5.5</v>
      </c>
      <c r="DI94" s="14">
        <f t="shared" si="186"/>
        <v>5.5</v>
      </c>
      <c r="DJ94" s="14">
        <f t="shared" si="186"/>
        <v>5.5</v>
      </c>
      <c r="DK94" s="14">
        <f t="shared" si="186"/>
        <v>5.5</v>
      </c>
      <c r="DL94" s="14">
        <f t="shared" si="186"/>
        <v>5.5</v>
      </c>
      <c r="DM94" s="14">
        <f t="shared" si="186"/>
        <v>5.5</v>
      </c>
      <c r="DN94" s="14">
        <f t="shared" si="186"/>
        <v>5.5</v>
      </c>
      <c r="DO94" s="14">
        <f t="shared" si="186"/>
        <v>5.5</v>
      </c>
      <c r="DP94" s="15">
        <f t="shared" si="186"/>
        <v>5.5</v>
      </c>
      <c r="DQ94" s="15">
        <f t="shared" si="186"/>
        <v>0</v>
      </c>
      <c r="DR94" s="15">
        <f t="shared" si="186"/>
        <v>0</v>
      </c>
      <c r="DS94" s="15">
        <f t="shared" si="186"/>
        <v>0</v>
      </c>
      <c r="DT94" s="15">
        <f t="shared" si="186"/>
        <v>0</v>
      </c>
      <c r="DU94" s="14">
        <f t="shared" si="186"/>
        <v>0</v>
      </c>
      <c r="DV94" s="14">
        <f>DU95+5.5</f>
        <v>5.5</v>
      </c>
      <c r="DW94" s="14">
        <f t="shared" si="186"/>
        <v>5.5</v>
      </c>
      <c r="DX94" s="14">
        <f t="shared" si="186"/>
        <v>5.5</v>
      </c>
      <c r="DY94" s="14">
        <f t="shared" si="186"/>
        <v>5.5</v>
      </c>
      <c r="DZ94" s="14">
        <f t="shared" si="186"/>
        <v>5.5</v>
      </c>
      <c r="EA94" s="14">
        <f t="shared" si="186"/>
        <v>5.5</v>
      </c>
      <c r="EB94" s="14">
        <f t="shared" si="186"/>
        <v>5.5</v>
      </c>
      <c r="EC94" s="14">
        <f t="shared" si="186"/>
        <v>5.5</v>
      </c>
      <c r="ED94" s="14">
        <f aca="true" t="shared" si="187" ref="ED94:GO94">EC95</f>
        <v>5.5</v>
      </c>
      <c r="EE94" s="14">
        <f t="shared" si="187"/>
        <v>5.5</v>
      </c>
      <c r="EF94" s="14">
        <f t="shared" si="187"/>
        <v>5.5</v>
      </c>
      <c r="EG94" s="14">
        <f t="shared" si="187"/>
        <v>5.5</v>
      </c>
      <c r="EH94" s="14">
        <f t="shared" si="187"/>
        <v>5.5</v>
      </c>
      <c r="EI94" s="14">
        <f t="shared" si="187"/>
        <v>5.5</v>
      </c>
      <c r="EJ94" s="14">
        <f t="shared" si="187"/>
        <v>5.5</v>
      </c>
      <c r="EK94" s="14">
        <f t="shared" si="187"/>
        <v>5.5</v>
      </c>
      <c r="EL94" s="14">
        <f t="shared" si="187"/>
        <v>5.5</v>
      </c>
      <c r="EM94" s="14">
        <f t="shared" si="187"/>
        <v>5.5</v>
      </c>
      <c r="EN94" s="14">
        <f t="shared" si="187"/>
        <v>5.5</v>
      </c>
      <c r="EO94" s="14">
        <f t="shared" si="187"/>
        <v>5.5</v>
      </c>
      <c r="EP94" s="14">
        <f>EO95+5.5</f>
        <v>11</v>
      </c>
      <c r="EQ94" s="14">
        <f t="shared" si="187"/>
        <v>5.5</v>
      </c>
      <c r="ER94" s="14">
        <f>EQ95</f>
        <v>5.5</v>
      </c>
      <c r="ES94" s="14">
        <f>ER95</f>
        <v>5.5</v>
      </c>
      <c r="ET94" s="14">
        <f>ES95</f>
        <v>5.5</v>
      </c>
      <c r="EU94" s="14">
        <f t="shared" si="187"/>
        <v>5.5</v>
      </c>
      <c r="EV94" s="14">
        <f t="shared" si="187"/>
        <v>5.5</v>
      </c>
      <c r="EW94" s="14">
        <f t="shared" si="187"/>
        <v>5.5</v>
      </c>
      <c r="EX94" s="14">
        <f t="shared" si="187"/>
        <v>5.5</v>
      </c>
      <c r="EY94" s="14">
        <f t="shared" si="187"/>
        <v>5.5</v>
      </c>
      <c r="EZ94" s="14">
        <f t="shared" si="187"/>
        <v>5.5</v>
      </c>
      <c r="FA94" s="14">
        <f t="shared" si="187"/>
        <v>5.5</v>
      </c>
      <c r="FB94" s="14">
        <f t="shared" si="187"/>
        <v>5.5</v>
      </c>
      <c r="FC94" s="14">
        <f t="shared" si="187"/>
        <v>5.5</v>
      </c>
      <c r="FD94" s="14">
        <f t="shared" si="187"/>
        <v>5.5</v>
      </c>
      <c r="FE94" s="14">
        <f t="shared" si="187"/>
        <v>5.5</v>
      </c>
      <c r="FF94" s="14">
        <f t="shared" si="187"/>
        <v>5.5</v>
      </c>
      <c r="FG94" s="14">
        <f t="shared" si="187"/>
        <v>5.5</v>
      </c>
      <c r="FH94" s="14">
        <f t="shared" si="187"/>
        <v>5.5</v>
      </c>
      <c r="FI94" s="14">
        <f t="shared" si="187"/>
        <v>5.5</v>
      </c>
      <c r="FJ94" s="14">
        <f t="shared" si="187"/>
        <v>5.5</v>
      </c>
      <c r="FK94" s="14">
        <f t="shared" si="187"/>
        <v>5.5</v>
      </c>
      <c r="FL94" s="14">
        <f t="shared" si="187"/>
        <v>5.5</v>
      </c>
      <c r="FM94" s="14">
        <f t="shared" si="187"/>
        <v>5.5</v>
      </c>
      <c r="FN94" s="14">
        <f t="shared" si="187"/>
        <v>5.5</v>
      </c>
      <c r="FO94" s="14">
        <f t="shared" si="187"/>
        <v>5.5</v>
      </c>
      <c r="FP94" s="14">
        <f t="shared" si="187"/>
        <v>5.5</v>
      </c>
      <c r="FQ94" s="14">
        <f t="shared" si="187"/>
        <v>5.5</v>
      </c>
      <c r="FR94" s="14">
        <f t="shared" si="187"/>
        <v>5.5</v>
      </c>
      <c r="FS94" s="14">
        <f t="shared" si="187"/>
        <v>0</v>
      </c>
      <c r="FT94" s="14">
        <f t="shared" si="187"/>
        <v>0</v>
      </c>
      <c r="FU94" s="14">
        <f t="shared" si="187"/>
        <v>0</v>
      </c>
      <c r="FV94" s="14">
        <f t="shared" si="187"/>
        <v>0</v>
      </c>
      <c r="FW94" s="14">
        <f t="shared" si="187"/>
        <v>0</v>
      </c>
      <c r="FX94" s="14">
        <f t="shared" si="187"/>
        <v>0</v>
      </c>
      <c r="FY94" s="14">
        <f t="shared" si="187"/>
        <v>0</v>
      </c>
      <c r="FZ94" s="14">
        <f t="shared" si="187"/>
        <v>0</v>
      </c>
      <c r="GA94" s="14">
        <f t="shared" si="187"/>
        <v>0</v>
      </c>
      <c r="GB94" s="14">
        <f t="shared" si="187"/>
        <v>0</v>
      </c>
      <c r="GC94" s="14">
        <f t="shared" si="187"/>
        <v>0</v>
      </c>
      <c r="GD94" s="14">
        <f t="shared" si="187"/>
        <v>0</v>
      </c>
      <c r="GE94" s="14">
        <f t="shared" si="187"/>
        <v>0</v>
      </c>
      <c r="GF94" s="14">
        <f t="shared" si="187"/>
        <v>0</v>
      </c>
      <c r="GG94" s="14">
        <f t="shared" si="187"/>
        <v>0</v>
      </c>
      <c r="GH94" s="14">
        <f t="shared" si="187"/>
        <v>0</v>
      </c>
      <c r="GI94" s="14">
        <f t="shared" si="187"/>
        <v>0</v>
      </c>
      <c r="GJ94" s="14">
        <f t="shared" si="187"/>
        <v>0</v>
      </c>
      <c r="GK94" s="14">
        <f t="shared" si="187"/>
        <v>0</v>
      </c>
      <c r="GL94" s="14">
        <f t="shared" si="187"/>
        <v>0</v>
      </c>
      <c r="GM94" s="14">
        <f t="shared" si="187"/>
        <v>0</v>
      </c>
      <c r="GN94" s="14">
        <f t="shared" si="187"/>
        <v>0</v>
      </c>
      <c r="GO94" s="14">
        <f t="shared" si="187"/>
        <v>0</v>
      </c>
    </row>
    <row r="95" spans="1:197" ht="15">
      <c r="A95" s="4"/>
      <c r="B95" s="4"/>
      <c r="C95" s="12" t="s">
        <v>218</v>
      </c>
      <c r="D95" s="16">
        <f>D94-D93</f>
        <v>9.3</v>
      </c>
      <c r="E95" s="16">
        <f>E94-E93</f>
        <v>9.3</v>
      </c>
      <c r="F95" s="16">
        <f aca="true" t="shared" si="188" ref="F95:BQ95">F94-F93</f>
        <v>5.500000000000001</v>
      </c>
      <c r="G95" s="16">
        <f t="shared" si="188"/>
        <v>5.500000000000001</v>
      </c>
      <c r="H95" s="16">
        <f t="shared" si="188"/>
        <v>5.500000000000001</v>
      </c>
      <c r="I95" s="16">
        <f t="shared" si="188"/>
        <v>5.500000000000001</v>
      </c>
      <c r="J95" s="16">
        <f t="shared" si="188"/>
        <v>5.500000000000001</v>
      </c>
      <c r="K95" s="16">
        <f t="shared" si="188"/>
        <v>5.500000000000001</v>
      </c>
      <c r="L95" s="16">
        <f t="shared" si="188"/>
        <v>5.500000000000001</v>
      </c>
      <c r="M95" s="16">
        <f t="shared" si="188"/>
        <v>5.500000000000001</v>
      </c>
      <c r="N95" s="16">
        <f t="shared" si="188"/>
        <v>5.500000000000001</v>
      </c>
      <c r="O95" s="17">
        <f t="shared" si="188"/>
        <v>5.500000000000001</v>
      </c>
      <c r="P95" s="16">
        <f t="shared" si="188"/>
        <v>5.500000000000001</v>
      </c>
      <c r="Q95" s="16">
        <f t="shared" si="188"/>
        <v>5.500000000000001</v>
      </c>
      <c r="R95" s="16">
        <f t="shared" si="188"/>
        <v>11</v>
      </c>
      <c r="S95" s="16">
        <f t="shared" si="188"/>
        <v>11</v>
      </c>
      <c r="T95" s="16">
        <f t="shared" si="188"/>
        <v>11</v>
      </c>
      <c r="U95" s="16">
        <f t="shared" si="188"/>
        <v>11</v>
      </c>
      <c r="V95" s="16">
        <f t="shared" si="188"/>
        <v>11</v>
      </c>
      <c r="W95" s="16">
        <f t="shared" si="188"/>
        <v>11</v>
      </c>
      <c r="X95" s="17">
        <f t="shared" si="188"/>
        <v>11</v>
      </c>
      <c r="Y95" s="16">
        <f t="shared" si="188"/>
        <v>11</v>
      </c>
      <c r="Z95" s="16">
        <f t="shared" si="188"/>
        <v>11</v>
      </c>
      <c r="AA95" s="16">
        <f t="shared" si="188"/>
        <v>11</v>
      </c>
      <c r="AB95" s="16">
        <f t="shared" si="188"/>
        <v>11</v>
      </c>
      <c r="AC95" s="16">
        <f t="shared" si="188"/>
        <v>11</v>
      </c>
      <c r="AD95" s="16">
        <f t="shared" si="188"/>
        <v>11</v>
      </c>
      <c r="AE95" s="16">
        <f t="shared" si="188"/>
        <v>5.5</v>
      </c>
      <c r="AF95" s="16">
        <f t="shared" si="188"/>
        <v>5.5</v>
      </c>
      <c r="AG95" s="16">
        <f t="shared" si="188"/>
        <v>5.5</v>
      </c>
      <c r="AH95" s="16">
        <f t="shared" si="188"/>
        <v>5.5</v>
      </c>
      <c r="AI95" s="16">
        <f t="shared" si="188"/>
        <v>5.5</v>
      </c>
      <c r="AJ95" s="16">
        <f t="shared" si="188"/>
        <v>5.5</v>
      </c>
      <c r="AK95" s="16">
        <f t="shared" si="188"/>
        <v>5.5</v>
      </c>
      <c r="AL95" s="16">
        <f t="shared" si="188"/>
        <v>5.5</v>
      </c>
      <c r="AM95" s="16">
        <f t="shared" si="188"/>
        <v>5.5</v>
      </c>
      <c r="AN95" s="16">
        <f t="shared" si="188"/>
        <v>0</v>
      </c>
      <c r="AO95" s="16">
        <f t="shared" si="188"/>
        <v>0</v>
      </c>
      <c r="AP95" s="16">
        <f t="shared" si="188"/>
        <v>0</v>
      </c>
      <c r="AQ95" s="16">
        <f t="shared" si="188"/>
        <v>0</v>
      </c>
      <c r="AR95" s="16">
        <f t="shared" si="188"/>
        <v>5.5</v>
      </c>
      <c r="AS95" s="16">
        <f t="shared" si="188"/>
        <v>5.5</v>
      </c>
      <c r="AT95" s="16">
        <f t="shared" si="188"/>
        <v>5.5</v>
      </c>
      <c r="AU95" s="16">
        <f t="shared" si="188"/>
        <v>5.5</v>
      </c>
      <c r="AV95" s="16">
        <f t="shared" si="188"/>
        <v>5.5</v>
      </c>
      <c r="AW95" s="16">
        <f t="shared" si="188"/>
        <v>5.5</v>
      </c>
      <c r="AX95" s="16">
        <f t="shared" si="188"/>
        <v>5.5</v>
      </c>
      <c r="AY95" s="16">
        <f t="shared" si="188"/>
        <v>5.5</v>
      </c>
      <c r="AZ95" s="16">
        <f t="shared" si="188"/>
        <v>5.5</v>
      </c>
      <c r="BA95" s="16">
        <f t="shared" si="188"/>
        <v>5.5</v>
      </c>
      <c r="BB95" s="16">
        <f t="shared" si="188"/>
        <v>0</v>
      </c>
      <c r="BC95" s="16">
        <f t="shared" si="188"/>
        <v>0</v>
      </c>
      <c r="BD95" s="16">
        <f t="shared" si="188"/>
        <v>0</v>
      </c>
      <c r="BE95" s="16">
        <f t="shared" si="188"/>
        <v>0</v>
      </c>
      <c r="BF95" s="16">
        <f t="shared" si="188"/>
        <v>0</v>
      </c>
      <c r="BG95" s="16">
        <f t="shared" si="188"/>
        <v>0</v>
      </c>
      <c r="BH95" s="16">
        <f t="shared" si="188"/>
        <v>0</v>
      </c>
      <c r="BI95" s="16">
        <f t="shared" si="188"/>
        <v>0</v>
      </c>
      <c r="BJ95" s="16">
        <f t="shared" si="188"/>
        <v>0</v>
      </c>
      <c r="BK95" s="16">
        <f t="shared" si="188"/>
        <v>0</v>
      </c>
      <c r="BL95" s="16">
        <f t="shared" si="188"/>
        <v>0</v>
      </c>
      <c r="BM95" s="16">
        <f t="shared" si="188"/>
        <v>0</v>
      </c>
      <c r="BN95" s="16">
        <f t="shared" si="188"/>
        <v>0</v>
      </c>
      <c r="BO95" s="16">
        <f t="shared" si="188"/>
        <v>0</v>
      </c>
      <c r="BP95" s="16">
        <f t="shared" si="188"/>
        <v>0</v>
      </c>
      <c r="BQ95" s="16">
        <f t="shared" si="188"/>
        <v>0</v>
      </c>
      <c r="BR95" s="16">
        <f aca="true" t="shared" si="189" ref="BR95:EC95">BR94-BR93</f>
        <v>5.5</v>
      </c>
      <c r="BS95" s="16">
        <f t="shared" si="189"/>
        <v>5.5</v>
      </c>
      <c r="BT95" s="27">
        <f t="shared" si="189"/>
        <v>5.5</v>
      </c>
      <c r="BU95" s="27">
        <f t="shared" si="189"/>
        <v>5.5</v>
      </c>
      <c r="BV95" s="27">
        <f t="shared" si="189"/>
        <v>5.5</v>
      </c>
      <c r="BW95" s="16">
        <f t="shared" si="189"/>
        <v>5.5</v>
      </c>
      <c r="BX95" s="16">
        <f t="shared" si="189"/>
        <v>5.5</v>
      </c>
      <c r="BY95" s="16">
        <f t="shared" si="189"/>
        <v>5.5</v>
      </c>
      <c r="BZ95" s="16">
        <f t="shared" si="189"/>
        <v>5.5</v>
      </c>
      <c r="CA95" s="16">
        <f t="shared" si="189"/>
        <v>5.5</v>
      </c>
      <c r="CB95" s="16">
        <f t="shared" si="189"/>
        <v>5.5</v>
      </c>
      <c r="CC95" s="16">
        <f t="shared" si="189"/>
        <v>5.5</v>
      </c>
      <c r="CD95" s="16">
        <f t="shared" si="189"/>
        <v>5.5</v>
      </c>
      <c r="CE95" s="16">
        <f t="shared" si="189"/>
        <v>5.5</v>
      </c>
      <c r="CF95" s="16">
        <f t="shared" si="189"/>
        <v>5.5</v>
      </c>
      <c r="CG95" s="16">
        <f t="shared" si="189"/>
        <v>5.5</v>
      </c>
      <c r="CH95" s="16">
        <f t="shared" si="189"/>
        <v>5.5</v>
      </c>
      <c r="CI95" s="16">
        <f t="shared" si="189"/>
        <v>5.5</v>
      </c>
      <c r="CJ95" s="16">
        <f t="shared" si="189"/>
        <v>5.5</v>
      </c>
      <c r="CK95" s="16">
        <f t="shared" si="189"/>
        <v>5.5</v>
      </c>
      <c r="CL95" s="16">
        <f t="shared" si="189"/>
        <v>5.5</v>
      </c>
      <c r="CM95" s="16">
        <f t="shared" si="189"/>
        <v>5.5</v>
      </c>
      <c r="CN95" s="16">
        <f t="shared" si="189"/>
        <v>5.5</v>
      </c>
      <c r="CO95" s="16">
        <f t="shared" si="189"/>
        <v>11</v>
      </c>
      <c r="CP95" s="16">
        <f t="shared" si="189"/>
        <v>5.5</v>
      </c>
      <c r="CQ95" s="16">
        <f t="shared" si="189"/>
        <v>5.5</v>
      </c>
      <c r="CR95" s="16">
        <f t="shared" si="189"/>
        <v>5.5</v>
      </c>
      <c r="CS95" s="16">
        <f t="shared" si="189"/>
        <v>5.5</v>
      </c>
      <c r="CT95" s="16">
        <f t="shared" si="189"/>
        <v>5.5</v>
      </c>
      <c r="CU95" s="16">
        <f t="shared" si="189"/>
        <v>5.5</v>
      </c>
      <c r="CV95" s="16">
        <f t="shared" si="189"/>
        <v>5.5</v>
      </c>
      <c r="CW95" s="16">
        <f t="shared" si="189"/>
        <v>5.5</v>
      </c>
      <c r="CX95" s="16">
        <f t="shared" si="189"/>
        <v>5.5</v>
      </c>
      <c r="CY95" s="16">
        <f t="shared" si="189"/>
        <v>5.5</v>
      </c>
      <c r="CZ95" s="16">
        <f t="shared" si="189"/>
        <v>5.5</v>
      </c>
      <c r="DA95" s="16">
        <f t="shared" si="189"/>
        <v>5.5</v>
      </c>
      <c r="DB95" s="16">
        <f t="shared" si="189"/>
        <v>5.5</v>
      </c>
      <c r="DC95" s="16">
        <f t="shared" si="189"/>
        <v>5.5</v>
      </c>
      <c r="DD95" s="16">
        <f t="shared" si="189"/>
        <v>5.5</v>
      </c>
      <c r="DE95" s="16">
        <f t="shared" si="189"/>
        <v>5.5</v>
      </c>
      <c r="DF95" s="16">
        <f t="shared" si="189"/>
        <v>5.5</v>
      </c>
      <c r="DG95" s="16">
        <f t="shared" si="189"/>
        <v>5.5</v>
      </c>
      <c r="DH95" s="16">
        <f t="shared" si="189"/>
        <v>5.5</v>
      </c>
      <c r="DI95" s="16">
        <f t="shared" si="189"/>
        <v>5.5</v>
      </c>
      <c r="DJ95" s="16">
        <f t="shared" si="189"/>
        <v>5.5</v>
      </c>
      <c r="DK95" s="16">
        <f t="shared" si="189"/>
        <v>5.5</v>
      </c>
      <c r="DL95" s="16">
        <f t="shared" si="189"/>
        <v>5.5</v>
      </c>
      <c r="DM95" s="16">
        <f t="shared" si="189"/>
        <v>5.5</v>
      </c>
      <c r="DN95" s="16">
        <f t="shared" si="189"/>
        <v>5.5</v>
      </c>
      <c r="DO95" s="16">
        <f t="shared" si="189"/>
        <v>5.5</v>
      </c>
      <c r="DP95" s="17">
        <f t="shared" si="189"/>
        <v>0</v>
      </c>
      <c r="DQ95" s="17">
        <f t="shared" si="189"/>
        <v>0</v>
      </c>
      <c r="DR95" s="17">
        <f t="shared" si="189"/>
        <v>0</v>
      </c>
      <c r="DS95" s="17">
        <f t="shared" si="189"/>
        <v>0</v>
      </c>
      <c r="DT95" s="17">
        <f t="shared" si="189"/>
        <v>0</v>
      </c>
      <c r="DU95" s="16">
        <f t="shared" si="189"/>
        <v>0</v>
      </c>
      <c r="DV95" s="16">
        <f t="shared" si="189"/>
        <v>5.5</v>
      </c>
      <c r="DW95" s="16">
        <f t="shared" si="189"/>
        <v>5.5</v>
      </c>
      <c r="DX95" s="16">
        <f t="shared" si="189"/>
        <v>5.5</v>
      </c>
      <c r="DY95" s="16">
        <f t="shared" si="189"/>
        <v>5.5</v>
      </c>
      <c r="DZ95" s="16">
        <f t="shared" si="189"/>
        <v>5.5</v>
      </c>
      <c r="EA95" s="16">
        <f t="shared" si="189"/>
        <v>5.5</v>
      </c>
      <c r="EB95" s="16">
        <f t="shared" si="189"/>
        <v>5.5</v>
      </c>
      <c r="EC95" s="16">
        <f t="shared" si="189"/>
        <v>5.5</v>
      </c>
      <c r="ED95" s="16">
        <f aca="true" t="shared" si="190" ref="ED95:GO95">ED94-ED93</f>
        <v>5.5</v>
      </c>
      <c r="EE95" s="16">
        <f t="shared" si="190"/>
        <v>5.5</v>
      </c>
      <c r="EF95" s="16">
        <f t="shared" si="190"/>
        <v>5.5</v>
      </c>
      <c r="EG95" s="16">
        <f t="shared" si="190"/>
        <v>5.5</v>
      </c>
      <c r="EH95" s="16">
        <f t="shared" si="190"/>
        <v>5.5</v>
      </c>
      <c r="EI95" s="16">
        <f t="shared" si="190"/>
        <v>5.5</v>
      </c>
      <c r="EJ95" s="16">
        <f t="shared" si="190"/>
        <v>5.5</v>
      </c>
      <c r="EK95" s="16">
        <f t="shared" si="190"/>
        <v>5.5</v>
      </c>
      <c r="EL95" s="16">
        <f t="shared" si="190"/>
        <v>5.5</v>
      </c>
      <c r="EM95" s="16">
        <f t="shared" si="190"/>
        <v>5.5</v>
      </c>
      <c r="EN95" s="16">
        <f t="shared" si="190"/>
        <v>5.5</v>
      </c>
      <c r="EO95" s="16">
        <f t="shared" si="190"/>
        <v>5.5</v>
      </c>
      <c r="EP95" s="16">
        <f t="shared" si="190"/>
        <v>5.5</v>
      </c>
      <c r="EQ95" s="16">
        <f t="shared" si="190"/>
        <v>5.5</v>
      </c>
      <c r="ER95" s="16">
        <f t="shared" si="190"/>
        <v>5.5</v>
      </c>
      <c r="ES95" s="16">
        <f t="shared" si="190"/>
        <v>5.5</v>
      </c>
      <c r="ET95" s="16">
        <f t="shared" si="190"/>
        <v>5.5</v>
      </c>
      <c r="EU95" s="16">
        <f t="shared" si="190"/>
        <v>5.5</v>
      </c>
      <c r="EV95" s="16">
        <f t="shared" si="190"/>
        <v>5.5</v>
      </c>
      <c r="EW95" s="16">
        <f t="shared" si="190"/>
        <v>5.5</v>
      </c>
      <c r="EX95" s="16">
        <f t="shared" si="190"/>
        <v>5.5</v>
      </c>
      <c r="EY95" s="16">
        <f t="shared" si="190"/>
        <v>5.5</v>
      </c>
      <c r="EZ95" s="16">
        <f t="shared" si="190"/>
        <v>5.5</v>
      </c>
      <c r="FA95" s="16">
        <f t="shared" si="190"/>
        <v>5.5</v>
      </c>
      <c r="FB95" s="16">
        <f t="shared" si="190"/>
        <v>5.5</v>
      </c>
      <c r="FC95" s="16">
        <f t="shared" si="190"/>
        <v>5.5</v>
      </c>
      <c r="FD95" s="16">
        <f t="shared" si="190"/>
        <v>5.5</v>
      </c>
      <c r="FE95" s="16">
        <f t="shared" si="190"/>
        <v>5.5</v>
      </c>
      <c r="FF95" s="16">
        <f t="shared" si="190"/>
        <v>5.5</v>
      </c>
      <c r="FG95" s="16">
        <f t="shared" si="190"/>
        <v>5.5</v>
      </c>
      <c r="FH95" s="16">
        <f t="shared" si="190"/>
        <v>5.5</v>
      </c>
      <c r="FI95" s="16">
        <f t="shared" si="190"/>
        <v>5.5</v>
      </c>
      <c r="FJ95" s="16">
        <f t="shared" si="190"/>
        <v>5.5</v>
      </c>
      <c r="FK95" s="16">
        <f t="shared" si="190"/>
        <v>5.5</v>
      </c>
      <c r="FL95" s="16">
        <f t="shared" si="190"/>
        <v>5.5</v>
      </c>
      <c r="FM95" s="16">
        <f t="shared" si="190"/>
        <v>5.5</v>
      </c>
      <c r="FN95" s="16">
        <f t="shared" si="190"/>
        <v>5.5</v>
      </c>
      <c r="FO95" s="16">
        <f t="shared" si="190"/>
        <v>5.5</v>
      </c>
      <c r="FP95" s="16">
        <f t="shared" si="190"/>
        <v>5.5</v>
      </c>
      <c r="FQ95" s="16">
        <f t="shared" si="190"/>
        <v>5.5</v>
      </c>
      <c r="FR95" s="16">
        <f t="shared" si="190"/>
        <v>0</v>
      </c>
      <c r="FS95" s="16">
        <f t="shared" si="190"/>
        <v>0</v>
      </c>
      <c r="FT95" s="16">
        <f t="shared" si="190"/>
        <v>0</v>
      </c>
      <c r="FU95" s="16">
        <f t="shared" si="190"/>
        <v>0</v>
      </c>
      <c r="FV95" s="16">
        <f t="shared" si="190"/>
        <v>0</v>
      </c>
      <c r="FW95" s="16">
        <f t="shared" si="190"/>
        <v>0</v>
      </c>
      <c r="FX95" s="16">
        <f t="shared" si="190"/>
        <v>0</v>
      </c>
      <c r="FY95" s="16">
        <f t="shared" si="190"/>
        <v>0</v>
      </c>
      <c r="FZ95" s="16">
        <f t="shared" si="190"/>
        <v>0</v>
      </c>
      <c r="GA95" s="16">
        <f t="shared" si="190"/>
        <v>0</v>
      </c>
      <c r="GB95" s="16">
        <f t="shared" si="190"/>
        <v>0</v>
      </c>
      <c r="GC95" s="16">
        <f t="shared" si="190"/>
        <v>0</v>
      </c>
      <c r="GD95" s="16">
        <f t="shared" si="190"/>
        <v>0</v>
      </c>
      <c r="GE95" s="16">
        <f t="shared" si="190"/>
        <v>0</v>
      </c>
      <c r="GF95" s="16">
        <f t="shared" si="190"/>
        <v>0</v>
      </c>
      <c r="GG95" s="16">
        <f t="shared" si="190"/>
        <v>0</v>
      </c>
      <c r="GH95" s="16">
        <f t="shared" si="190"/>
        <v>0</v>
      </c>
      <c r="GI95" s="16">
        <f t="shared" si="190"/>
        <v>0</v>
      </c>
      <c r="GJ95" s="16">
        <f t="shared" si="190"/>
        <v>0</v>
      </c>
      <c r="GK95" s="16">
        <f t="shared" si="190"/>
        <v>0</v>
      </c>
      <c r="GL95" s="16">
        <f t="shared" si="190"/>
        <v>0</v>
      </c>
      <c r="GM95" s="16">
        <f t="shared" si="190"/>
        <v>0</v>
      </c>
      <c r="GN95" s="16">
        <f t="shared" si="190"/>
        <v>0</v>
      </c>
      <c r="GO95" s="16">
        <f t="shared" si="190"/>
        <v>0</v>
      </c>
    </row>
    <row r="96" spans="1:256" s="9" customFormat="1" ht="15">
      <c r="A96" s="4" t="s">
        <v>253</v>
      </c>
      <c r="B96" s="4">
        <v>21</v>
      </c>
      <c r="C96" s="12" t="s">
        <v>216</v>
      </c>
      <c r="O96" s="19">
        <v>18.4</v>
      </c>
      <c r="X96" s="29"/>
      <c r="Y96" s="19">
        <v>3.1</v>
      </c>
      <c r="AQ96" s="19">
        <v>9.8</v>
      </c>
      <c r="AW96" s="30">
        <v>6.1</v>
      </c>
      <c r="BI96" s="19">
        <v>7.1</v>
      </c>
      <c r="BR96" s="30">
        <v>5.3</v>
      </c>
      <c r="BT96" s="31"/>
      <c r="BU96" s="31"/>
      <c r="BV96" s="31"/>
      <c r="BW96" s="30">
        <v>4.6</v>
      </c>
      <c r="CH96" s="30">
        <v>10.6</v>
      </c>
      <c r="CT96" s="30">
        <v>10.6</v>
      </c>
      <c r="DE96" s="30">
        <v>13.1</v>
      </c>
      <c r="DP96" s="19">
        <v>5.6</v>
      </c>
      <c r="DQ96" s="29"/>
      <c r="DR96" s="29"/>
      <c r="DS96" s="29"/>
      <c r="DT96" s="29"/>
      <c r="EP96" s="19">
        <v>28.2</v>
      </c>
      <c r="FR96" s="9">
        <v>17.6</v>
      </c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197" ht="15">
      <c r="A97" s="4"/>
      <c r="B97" s="4"/>
      <c r="C97" s="12" t="s">
        <v>217</v>
      </c>
      <c r="D97" s="14">
        <v>0</v>
      </c>
      <c r="E97" s="14">
        <f>D98</f>
        <v>0</v>
      </c>
      <c r="F97" s="14">
        <f aca="true" t="shared" si="191" ref="F97:BQ97">E98</f>
        <v>0</v>
      </c>
      <c r="G97" s="14">
        <f t="shared" si="191"/>
        <v>0</v>
      </c>
      <c r="H97" s="14">
        <f t="shared" si="191"/>
        <v>0</v>
      </c>
      <c r="I97" s="14">
        <f t="shared" si="191"/>
        <v>0</v>
      </c>
      <c r="J97" s="14">
        <f t="shared" si="191"/>
        <v>0</v>
      </c>
      <c r="K97" s="14">
        <f t="shared" si="191"/>
        <v>0</v>
      </c>
      <c r="L97" s="14">
        <f>K98+18.4</f>
        <v>18.4</v>
      </c>
      <c r="M97" s="14">
        <f t="shared" si="191"/>
        <v>18.4</v>
      </c>
      <c r="N97" s="14">
        <f t="shared" si="191"/>
        <v>18.4</v>
      </c>
      <c r="O97" s="15">
        <f t="shared" si="191"/>
        <v>18.4</v>
      </c>
      <c r="P97" s="14">
        <f t="shared" si="191"/>
        <v>0</v>
      </c>
      <c r="Q97" s="14">
        <f t="shared" si="191"/>
        <v>0</v>
      </c>
      <c r="R97" s="14">
        <f t="shared" si="191"/>
        <v>0</v>
      </c>
      <c r="S97" s="14">
        <f t="shared" si="191"/>
        <v>0</v>
      </c>
      <c r="T97" s="14">
        <f t="shared" si="191"/>
        <v>0</v>
      </c>
      <c r="U97" s="14">
        <f t="shared" si="191"/>
        <v>0</v>
      </c>
      <c r="V97" s="14">
        <f t="shared" si="191"/>
        <v>0</v>
      </c>
      <c r="W97" s="14">
        <f t="shared" si="191"/>
        <v>0</v>
      </c>
      <c r="X97" s="15">
        <f>W98+3.1</f>
        <v>3.1</v>
      </c>
      <c r="Y97" s="14">
        <f t="shared" si="191"/>
        <v>3.1</v>
      </c>
      <c r="Z97" s="14">
        <f t="shared" si="191"/>
        <v>0</v>
      </c>
      <c r="AA97" s="14">
        <f t="shared" si="191"/>
        <v>0</v>
      </c>
      <c r="AB97" s="14">
        <f t="shared" si="191"/>
        <v>0</v>
      </c>
      <c r="AC97" s="14">
        <f t="shared" si="191"/>
        <v>0</v>
      </c>
      <c r="AD97" s="14">
        <f t="shared" si="191"/>
        <v>0</v>
      </c>
      <c r="AE97" s="14">
        <f t="shared" si="191"/>
        <v>0</v>
      </c>
      <c r="AF97" s="14">
        <f t="shared" si="191"/>
        <v>0</v>
      </c>
      <c r="AG97" s="14">
        <f t="shared" si="191"/>
        <v>0</v>
      </c>
      <c r="AH97" s="14">
        <f t="shared" si="191"/>
        <v>0</v>
      </c>
      <c r="AI97" s="14">
        <f t="shared" si="191"/>
        <v>0</v>
      </c>
      <c r="AJ97" s="14">
        <f t="shared" si="191"/>
        <v>0</v>
      </c>
      <c r="AK97" s="14">
        <f t="shared" si="191"/>
        <v>0</v>
      </c>
      <c r="AL97" s="14">
        <f t="shared" si="191"/>
        <v>0</v>
      </c>
      <c r="AM97" s="14">
        <f t="shared" si="191"/>
        <v>0</v>
      </c>
      <c r="AN97" s="14">
        <f t="shared" si="191"/>
        <v>0</v>
      </c>
      <c r="AO97" s="14">
        <f t="shared" si="191"/>
        <v>0</v>
      </c>
      <c r="AP97" s="14">
        <f>AO98+9.8</f>
        <v>9.8</v>
      </c>
      <c r="AQ97" s="14">
        <f t="shared" si="191"/>
        <v>9.8</v>
      </c>
      <c r="AR97" s="14">
        <f t="shared" si="191"/>
        <v>0</v>
      </c>
      <c r="AS97" s="14">
        <f t="shared" si="191"/>
        <v>0</v>
      </c>
      <c r="AT97" s="14">
        <f t="shared" si="191"/>
        <v>0</v>
      </c>
      <c r="AU97" s="14">
        <f t="shared" si="191"/>
        <v>0</v>
      </c>
      <c r="AV97" s="14">
        <f t="shared" si="191"/>
        <v>0</v>
      </c>
      <c r="AW97" s="14">
        <f>AV98+6.1</f>
        <v>6.1</v>
      </c>
      <c r="AX97" s="14">
        <f t="shared" si="191"/>
        <v>0</v>
      </c>
      <c r="AY97" s="14">
        <f t="shared" si="191"/>
        <v>0</v>
      </c>
      <c r="AZ97" s="14">
        <f t="shared" si="191"/>
        <v>0</v>
      </c>
      <c r="BA97" s="14">
        <f t="shared" si="191"/>
        <v>0</v>
      </c>
      <c r="BB97" s="14">
        <f>BA98+7.1</f>
        <v>7.1</v>
      </c>
      <c r="BC97" s="14">
        <f t="shared" si="191"/>
        <v>7.1</v>
      </c>
      <c r="BD97" s="14">
        <f t="shared" si="191"/>
        <v>7.1</v>
      </c>
      <c r="BE97" s="14">
        <f t="shared" si="191"/>
        <v>7.1</v>
      </c>
      <c r="BF97" s="14">
        <f t="shared" si="191"/>
        <v>7.1</v>
      </c>
      <c r="BG97" s="14">
        <f t="shared" si="191"/>
        <v>7.1</v>
      </c>
      <c r="BH97" s="14">
        <f t="shared" si="191"/>
        <v>7.1</v>
      </c>
      <c r="BI97" s="14">
        <f t="shared" si="191"/>
        <v>7.1</v>
      </c>
      <c r="BJ97" s="14">
        <f t="shared" si="191"/>
        <v>0</v>
      </c>
      <c r="BK97" s="14">
        <f t="shared" si="191"/>
        <v>0</v>
      </c>
      <c r="BL97" s="14">
        <f t="shared" si="191"/>
        <v>0</v>
      </c>
      <c r="BM97" s="14">
        <f t="shared" si="191"/>
        <v>0</v>
      </c>
      <c r="BN97" s="14">
        <f>BM98+5.3</f>
        <v>5.3</v>
      </c>
      <c r="BO97" s="14">
        <f t="shared" si="191"/>
        <v>5.3</v>
      </c>
      <c r="BP97" s="14">
        <f t="shared" si="191"/>
        <v>5.3</v>
      </c>
      <c r="BQ97" s="14">
        <f t="shared" si="191"/>
        <v>5.3</v>
      </c>
      <c r="BR97" s="14">
        <f>BQ98+4.6</f>
        <v>9.899999999999999</v>
      </c>
      <c r="BS97" s="14">
        <f aca="true" t="shared" si="192" ref="BS97:EC97">BR98</f>
        <v>4.599999999999999</v>
      </c>
      <c r="BT97" s="26">
        <f t="shared" si="192"/>
        <v>4.599999999999999</v>
      </c>
      <c r="BU97" s="26">
        <f t="shared" si="192"/>
        <v>4.599999999999999</v>
      </c>
      <c r="BV97" s="26">
        <f t="shared" si="192"/>
        <v>4.599999999999999</v>
      </c>
      <c r="BW97" s="14">
        <f t="shared" si="192"/>
        <v>4.599999999999999</v>
      </c>
      <c r="BX97" s="14">
        <f t="shared" si="192"/>
        <v>0</v>
      </c>
      <c r="BY97" s="14">
        <f t="shared" si="192"/>
        <v>0</v>
      </c>
      <c r="BZ97" s="14">
        <f t="shared" si="192"/>
        <v>0</v>
      </c>
      <c r="CA97" s="14">
        <f t="shared" si="192"/>
        <v>0</v>
      </c>
      <c r="CB97" s="14">
        <f>CA98+10.6</f>
        <v>10.6</v>
      </c>
      <c r="CC97" s="14">
        <f t="shared" si="192"/>
        <v>10.6</v>
      </c>
      <c r="CD97" s="14">
        <f t="shared" si="192"/>
        <v>10.6</v>
      </c>
      <c r="CE97" s="14">
        <f t="shared" si="192"/>
        <v>10.6</v>
      </c>
      <c r="CF97" s="14">
        <f t="shared" si="192"/>
        <v>10.6</v>
      </c>
      <c r="CG97" s="14">
        <f t="shared" si="192"/>
        <v>10.6</v>
      </c>
      <c r="CH97" s="14">
        <f t="shared" si="192"/>
        <v>10.6</v>
      </c>
      <c r="CI97" s="14">
        <f t="shared" si="192"/>
        <v>0</v>
      </c>
      <c r="CJ97" s="14">
        <f t="shared" si="192"/>
        <v>0</v>
      </c>
      <c r="CK97" s="14">
        <f t="shared" si="192"/>
        <v>0</v>
      </c>
      <c r="CL97" s="14">
        <f t="shared" si="192"/>
        <v>0</v>
      </c>
      <c r="CM97" s="14">
        <f t="shared" si="192"/>
        <v>0</v>
      </c>
      <c r="CN97" s="14">
        <f t="shared" si="192"/>
        <v>0</v>
      </c>
      <c r="CO97" s="14">
        <f t="shared" si="192"/>
        <v>0</v>
      </c>
      <c r="CP97" s="14">
        <f t="shared" si="192"/>
        <v>0</v>
      </c>
      <c r="CQ97" s="14">
        <f t="shared" si="192"/>
        <v>0</v>
      </c>
      <c r="CR97" s="14">
        <f t="shared" si="192"/>
        <v>0</v>
      </c>
      <c r="CS97" s="14">
        <f>CR98+10.6</f>
        <v>10.6</v>
      </c>
      <c r="CT97" s="14">
        <f t="shared" si="192"/>
        <v>10.6</v>
      </c>
      <c r="CU97" s="14">
        <f t="shared" si="192"/>
        <v>0</v>
      </c>
      <c r="CV97" s="14">
        <f t="shared" si="192"/>
        <v>0</v>
      </c>
      <c r="CW97" s="14">
        <f t="shared" si="192"/>
        <v>0</v>
      </c>
      <c r="CX97" s="14">
        <f>CW98</f>
        <v>0</v>
      </c>
      <c r="CY97" s="14">
        <f t="shared" si="192"/>
        <v>0</v>
      </c>
      <c r="CZ97" s="14">
        <f t="shared" si="192"/>
        <v>0</v>
      </c>
      <c r="DA97" s="14">
        <f>CZ98+13.1</f>
        <v>13.1</v>
      </c>
      <c r="DB97" s="14">
        <f t="shared" si="192"/>
        <v>13.1</v>
      </c>
      <c r="DC97" s="14">
        <f t="shared" si="192"/>
        <v>13.1</v>
      </c>
      <c r="DD97" s="14">
        <f t="shared" si="192"/>
        <v>13.1</v>
      </c>
      <c r="DE97" s="14">
        <f t="shared" si="192"/>
        <v>13.1</v>
      </c>
      <c r="DF97" s="14">
        <f t="shared" si="192"/>
        <v>0</v>
      </c>
      <c r="DG97" s="14">
        <f t="shared" si="192"/>
        <v>0</v>
      </c>
      <c r="DH97" s="14">
        <f t="shared" si="192"/>
        <v>0</v>
      </c>
      <c r="DI97" s="14">
        <f t="shared" si="192"/>
        <v>0</v>
      </c>
      <c r="DJ97" s="14">
        <f t="shared" si="192"/>
        <v>0</v>
      </c>
      <c r="DK97" s="14">
        <f>DJ98+5.6</f>
        <v>5.6</v>
      </c>
      <c r="DL97" s="14">
        <f t="shared" si="192"/>
        <v>5.6</v>
      </c>
      <c r="DM97" s="14">
        <f t="shared" si="192"/>
        <v>5.6</v>
      </c>
      <c r="DN97" s="14">
        <f t="shared" si="192"/>
        <v>5.6</v>
      </c>
      <c r="DO97" s="14">
        <f t="shared" si="192"/>
        <v>5.6</v>
      </c>
      <c r="DP97" s="15">
        <f t="shared" si="192"/>
        <v>5.6</v>
      </c>
      <c r="DQ97" s="15">
        <f t="shared" si="192"/>
        <v>0</v>
      </c>
      <c r="DR97" s="15">
        <f t="shared" si="192"/>
        <v>0</v>
      </c>
      <c r="DS97" s="15">
        <f t="shared" si="192"/>
        <v>0</v>
      </c>
      <c r="DT97" s="15">
        <f t="shared" si="192"/>
        <v>0</v>
      </c>
      <c r="DU97" s="14">
        <f t="shared" si="192"/>
        <v>0</v>
      </c>
      <c r="DV97" s="14">
        <f t="shared" si="192"/>
        <v>0</v>
      </c>
      <c r="DW97" s="14">
        <f t="shared" si="192"/>
        <v>0</v>
      </c>
      <c r="DX97" s="14">
        <f t="shared" si="192"/>
        <v>0</v>
      </c>
      <c r="DY97" s="14">
        <f t="shared" si="192"/>
        <v>0</v>
      </c>
      <c r="DZ97" s="14">
        <f t="shared" si="192"/>
        <v>0</v>
      </c>
      <c r="EA97" s="14">
        <f t="shared" si="192"/>
        <v>0</v>
      </c>
      <c r="EB97" s="14">
        <f t="shared" si="192"/>
        <v>0</v>
      </c>
      <c r="EC97" s="14">
        <f t="shared" si="192"/>
        <v>0</v>
      </c>
      <c r="ED97" s="14">
        <f aca="true" t="shared" si="193" ref="ED97:GO97">EC98</f>
        <v>0</v>
      </c>
      <c r="EE97" s="14">
        <f t="shared" si="193"/>
        <v>0</v>
      </c>
      <c r="EF97" s="14">
        <f t="shared" si="193"/>
        <v>0</v>
      </c>
      <c r="EG97" s="14">
        <f t="shared" si="193"/>
        <v>0</v>
      </c>
      <c r="EH97" s="14">
        <f t="shared" si="193"/>
        <v>0</v>
      </c>
      <c r="EI97" s="14">
        <f t="shared" si="193"/>
        <v>0</v>
      </c>
      <c r="EJ97" s="14">
        <f t="shared" si="193"/>
        <v>0</v>
      </c>
      <c r="EK97" s="14">
        <f>EJ98+13.3</f>
        <v>13.3</v>
      </c>
      <c r="EL97" s="14">
        <f t="shared" si="193"/>
        <v>13.3</v>
      </c>
      <c r="EM97" s="14">
        <f t="shared" si="193"/>
        <v>13.3</v>
      </c>
      <c r="EN97" s="14">
        <f>EM98+14.9</f>
        <v>28.200000000000003</v>
      </c>
      <c r="EO97" s="14">
        <f t="shared" si="193"/>
        <v>28.200000000000003</v>
      </c>
      <c r="EP97" s="14">
        <f t="shared" si="193"/>
        <v>28.200000000000003</v>
      </c>
      <c r="EQ97" s="14">
        <f t="shared" si="193"/>
        <v>0</v>
      </c>
      <c r="ER97" s="14">
        <f>EQ98</f>
        <v>0</v>
      </c>
      <c r="ES97" s="14">
        <f>ER98</f>
        <v>0</v>
      </c>
      <c r="ET97" s="14">
        <f>ES98</f>
        <v>0</v>
      </c>
      <c r="EU97" s="14">
        <f t="shared" si="193"/>
        <v>0</v>
      </c>
      <c r="EV97" s="14">
        <f t="shared" si="193"/>
        <v>0</v>
      </c>
      <c r="EW97" s="14">
        <f t="shared" si="193"/>
        <v>0</v>
      </c>
      <c r="EX97" s="14">
        <f t="shared" si="193"/>
        <v>0</v>
      </c>
      <c r="EY97" s="14">
        <f t="shared" si="193"/>
        <v>0</v>
      </c>
      <c r="EZ97" s="14">
        <f t="shared" si="193"/>
        <v>0</v>
      </c>
      <c r="FA97" s="14">
        <f t="shared" si="193"/>
        <v>0</v>
      </c>
      <c r="FB97" s="14">
        <f t="shared" si="193"/>
        <v>0</v>
      </c>
      <c r="FC97" s="14">
        <f t="shared" si="193"/>
        <v>0</v>
      </c>
      <c r="FD97" s="14">
        <f t="shared" si="193"/>
        <v>0</v>
      </c>
      <c r="FE97" s="14">
        <f t="shared" si="193"/>
        <v>0</v>
      </c>
      <c r="FF97" s="14">
        <f t="shared" si="193"/>
        <v>0</v>
      </c>
      <c r="FG97" s="14">
        <f t="shared" si="193"/>
        <v>0</v>
      </c>
      <c r="FH97" s="14">
        <f>FG98+17.6</f>
        <v>17.6</v>
      </c>
      <c r="FI97" s="14">
        <f t="shared" si="193"/>
        <v>17.6</v>
      </c>
      <c r="FJ97" s="14">
        <f t="shared" si="193"/>
        <v>17.6</v>
      </c>
      <c r="FK97" s="14">
        <f t="shared" si="193"/>
        <v>17.6</v>
      </c>
      <c r="FL97" s="14">
        <f t="shared" si="193"/>
        <v>17.6</v>
      </c>
      <c r="FM97" s="14">
        <f t="shared" si="193"/>
        <v>17.6</v>
      </c>
      <c r="FN97" s="14">
        <f t="shared" si="193"/>
        <v>17.6</v>
      </c>
      <c r="FO97" s="14">
        <f t="shared" si="193"/>
        <v>17.6</v>
      </c>
      <c r="FP97" s="14">
        <f t="shared" si="193"/>
        <v>17.6</v>
      </c>
      <c r="FQ97" s="14">
        <f t="shared" si="193"/>
        <v>17.6</v>
      </c>
      <c r="FR97" s="14">
        <f t="shared" si="193"/>
        <v>17.6</v>
      </c>
      <c r="FS97" s="14">
        <f t="shared" si="193"/>
        <v>0</v>
      </c>
      <c r="FT97" s="14">
        <f t="shared" si="193"/>
        <v>0</v>
      </c>
      <c r="FU97" s="14">
        <f t="shared" si="193"/>
        <v>0</v>
      </c>
      <c r="FV97" s="14">
        <f t="shared" si="193"/>
        <v>0</v>
      </c>
      <c r="FW97" s="14">
        <f t="shared" si="193"/>
        <v>0</v>
      </c>
      <c r="FX97" s="14">
        <f t="shared" si="193"/>
        <v>0</v>
      </c>
      <c r="FY97" s="14">
        <f t="shared" si="193"/>
        <v>0</v>
      </c>
      <c r="FZ97" s="14">
        <f t="shared" si="193"/>
        <v>0</v>
      </c>
      <c r="GA97" s="14">
        <f t="shared" si="193"/>
        <v>0</v>
      </c>
      <c r="GB97" s="14">
        <f t="shared" si="193"/>
        <v>0</v>
      </c>
      <c r="GC97" s="14">
        <f t="shared" si="193"/>
        <v>0</v>
      </c>
      <c r="GD97" s="14">
        <f t="shared" si="193"/>
        <v>0</v>
      </c>
      <c r="GE97" s="14">
        <f t="shared" si="193"/>
        <v>0</v>
      </c>
      <c r="GF97" s="14">
        <f t="shared" si="193"/>
        <v>0</v>
      </c>
      <c r="GG97" s="14">
        <f t="shared" si="193"/>
        <v>0</v>
      </c>
      <c r="GH97" s="14">
        <f t="shared" si="193"/>
        <v>0</v>
      </c>
      <c r="GI97" s="14">
        <f t="shared" si="193"/>
        <v>0</v>
      </c>
      <c r="GJ97" s="14">
        <f t="shared" si="193"/>
        <v>0</v>
      </c>
      <c r="GK97" s="14">
        <f t="shared" si="193"/>
        <v>0</v>
      </c>
      <c r="GL97" s="14">
        <f t="shared" si="193"/>
        <v>0</v>
      </c>
      <c r="GM97" s="14">
        <f t="shared" si="193"/>
        <v>0</v>
      </c>
      <c r="GN97" s="14">
        <f t="shared" si="193"/>
        <v>0</v>
      </c>
      <c r="GO97" s="14">
        <f t="shared" si="193"/>
        <v>0</v>
      </c>
    </row>
    <row r="98" spans="1:197" ht="15">
      <c r="A98" s="4"/>
      <c r="B98" s="4"/>
      <c r="C98" s="12" t="s">
        <v>218</v>
      </c>
      <c r="D98" s="16">
        <f>D97-D96</f>
        <v>0</v>
      </c>
      <c r="E98" s="16">
        <f>E97-E96</f>
        <v>0</v>
      </c>
      <c r="F98" s="16">
        <f aca="true" t="shared" si="194" ref="F98:BQ98">F97-F96</f>
        <v>0</v>
      </c>
      <c r="G98" s="16">
        <f t="shared" si="194"/>
        <v>0</v>
      </c>
      <c r="H98" s="16">
        <f t="shared" si="194"/>
        <v>0</v>
      </c>
      <c r="I98" s="16">
        <f t="shared" si="194"/>
        <v>0</v>
      </c>
      <c r="J98" s="16">
        <f t="shared" si="194"/>
        <v>0</v>
      </c>
      <c r="K98" s="16">
        <f t="shared" si="194"/>
        <v>0</v>
      </c>
      <c r="L98" s="16">
        <f t="shared" si="194"/>
        <v>18.4</v>
      </c>
      <c r="M98" s="16">
        <f t="shared" si="194"/>
        <v>18.4</v>
      </c>
      <c r="N98" s="16">
        <f t="shared" si="194"/>
        <v>18.4</v>
      </c>
      <c r="O98" s="17">
        <f t="shared" si="194"/>
        <v>0</v>
      </c>
      <c r="P98" s="16">
        <f t="shared" si="194"/>
        <v>0</v>
      </c>
      <c r="Q98" s="16">
        <f t="shared" si="194"/>
        <v>0</v>
      </c>
      <c r="R98" s="16">
        <f t="shared" si="194"/>
        <v>0</v>
      </c>
      <c r="S98" s="16">
        <f t="shared" si="194"/>
        <v>0</v>
      </c>
      <c r="T98" s="16">
        <f t="shared" si="194"/>
        <v>0</v>
      </c>
      <c r="U98" s="16">
        <f t="shared" si="194"/>
        <v>0</v>
      </c>
      <c r="V98" s="16">
        <f t="shared" si="194"/>
        <v>0</v>
      </c>
      <c r="W98" s="16">
        <f t="shared" si="194"/>
        <v>0</v>
      </c>
      <c r="X98" s="17">
        <f t="shared" si="194"/>
        <v>3.1</v>
      </c>
      <c r="Y98" s="16">
        <f t="shared" si="194"/>
        <v>0</v>
      </c>
      <c r="Z98" s="16">
        <f t="shared" si="194"/>
        <v>0</v>
      </c>
      <c r="AA98" s="16">
        <f t="shared" si="194"/>
        <v>0</v>
      </c>
      <c r="AB98" s="16">
        <f t="shared" si="194"/>
        <v>0</v>
      </c>
      <c r="AC98" s="16">
        <f t="shared" si="194"/>
        <v>0</v>
      </c>
      <c r="AD98" s="16">
        <f t="shared" si="194"/>
        <v>0</v>
      </c>
      <c r="AE98" s="16">
        <f t="shared" si="194"/>
        <v>0</v>
      </c>
      <c r="AF98" s="16">
        <f t="shared" si="194"/>
        <v>0</v>
      </c>
      <c r="AG98" s="16">
        <f t="shared" si="194"/>
        <v>0</v>
      </c>
      <c r="AH98" s="16">
        <f t="shared" si="194"/>
        <v>0</v>
      </c>
      <c r="AI98" s="16">
        <f t="shared" si="194"/>
        <v>0</v>
      </c>
      <c r="AJ98" s="16">
        <f t="shared" si="194"/>
        <v>0</v>
      </c>
      <c r="AK98" s="16">
        <f t="shared" si="194"/>
        <v>0</v>
      </c>
      <c r="AL98" s="16">
        <f t="shared" si="194"/>
        <v>0</v>
      </c>
      <c r="AM98" s="16">
        <f t="shared" si="194"/>
        <v>0</v>
      </c>
      <c r="AN98" s="16">
        <f t="shared" si="194"/>
        <v>0</v>
      </c>
      <c r="AO98" s="16">
        <f t="shared" si="194"/>
        <v>0</v>
      </c>
      <c r="AP98" s="16">
        <f t="shared" si="194"/>
        <v>9.8</v>
      </c>
      <c r="AQ98" s="16">
        <f t="shared" si="194"/>
        <v>0</v>
      </c>
      <c r="AR98" s="16">
        <f t="shared" si="194"/>
        <v>0</v>
      </c>
      <c r="AS98" s="16">
        <f t="shared" si="194"/>
        <v>0</v>
      </c>
      <c r="AT98" s="16">
        <f t="shared" si="194"/>
        <v>0</v>
      </c>
      <c r="AU98" s="16">
        <f t="shared" si="194"/>
        <v>0</v>
      </c>
      <c r="AV98" s="16">
        <f t="shared" si="194"/>
        <v>0</v>
      </c>
      <c r="AW98" s="16">
        <f t="shared" si="194"/>
        <v>0</v>
      </c>
      <c r="AX98" s="16">
        <f t="shared" si="194"/>
        <v>0</v>
      </c>
      <c r="AY98" s="16">
        <f t="shared" si="194"/>
        <v>0</v>
      </c>
      <c r="AZ98" s="16">
        <f t="shared" si="194"/>
        <v>0</v>
      </c>
      <c r="BA98" s="16">
        <f t="shared" si="194"/>
        <v>0</v>
      </c>
      <c r="BB98" s="16">
        <f t="shared" si="194"/>
        <v>7.1</v>
      </c>
      <c r="BC98" s="16">
        <f t="shared" si="194"/>
        <v>7.1</v>
      </c>
      <c r="BD98" s="16">
        <f t="shared" si="194"/>
        <v>7.1</v>
      </c>
      <c r="BE98" s="16">
        <f t="shared" si="194"/>
        <v>7.1</v>
      </c>
      <c r="BF98" s="16">
        <f t="shared" si="194"/>
        <v>7.1</v>
      </c>
      <c r="BG98" s="16">
        <f t="shared" si="194"/>
        <v>7.1</v>
      </c>
      <c r="BH98" s="16">
        <f t="shared" si="194"/>
        <v>7.1</v>
      </c>
      <c r="BI98" s="16">
        <f t="shared" si="194"/>
        <v>0</v>
      </c>
      <c r="BJ98" s="16">
        <f t="shared" si="194"/>
        <v>0</v>
      </c>
      <c r="BK98" s="16">
        <f t="shared" si="194"/>
        <v>0</v>
      </c>
      <c r="BL98" s="16">
        <f t="shared" si="194"/>
        <v>0</v>
      </c>
      <c r="BM98" s="16">
        <f t="shared" si="194"/>
        <v>0</v>
      </c>
      <c r="BN98" s="16">
        <f t="shared" si="194"/>
        <v>5.3</v>
      </c>
      <c r="BO98" s="16">
        <f t="shared" si="194"/>
        <v>5.3</v>
      </c>
      <c r="BP98" s="16">
        <f t="shared" si="194"/>
        <v>5.3</v>
      </c>
      <c r="BQ98" s="16">
        <f t="shared" si="194"/>
        <v>5.3</v>
      </c>
      <c r="BR98" s="16">
        <f aca="true" t="shared" si="195" ref="BR98:EC98">BR97-BR96</f>
        <v>4.599999999999999</v>
      </c>
      <c r="BS98" s="16">
        <f t="shared" si="195"/>
        <v>4.599999999999999</v>
      </c>
      <c r="BT98" s="27">
        <f t="shared" si="195"/>
        <v>4.599999999999999</v>
      </c>
      <c r="BU98" s="27">
        <f t="shared" si="195"/>
        <v>4.599999999999999</v>
      </c>
      <c r="BV98" s="27">
        <f t="shared" si="195"/>
        <v>4.599999999999999</v>
      </c>
      <c r="BW98" s="16">
        <f t="shared" si="195"/>
        <v>0</v>
      </c>
      <c r="BX98" s="16">
        <f t="shared" si="195"/>
        <v>0</v>
      </c>
      <c r="BY98" s="16">
        <f t="shared" si="195"/>
        <v>0</v>
      </c>
      <c r="BZ98" s="16">
        <f t="shared" si="195"/>
        <v>0</v>
      </c>
      <c r="CA98" s="16">
        <f t="shared" si="195"/>
        <v>0</v>
      </c>
      <c r="CB98" s="16">
        <f t="shared" si="195"/>
        <v>10.6</v>
      </c>
      <c r="CC98" s="16">
        <f t="shared" si="195"/>
        <v>10.6</v>
      </c>
      <c r="CD98" s="16">
        <f t="shared" si="195"/>
        <v>10.6</v>
      </c>
      <c r="CE98" s="16">
        <f t="shared" si="195"/>
        <v>10.6</v>
      </c>
      <c r="CF98" s="16">
        <f t="shared" si="195"/>
        <v>10.6</v>
      </c>
      <c r="CG98" s="16">
        <f t="shared" si="195"/>
        <v>10.6</v>
      </c>
      <c r="CH98" s="16">
        <f t="shared" si="195"/>
        <v>0</v>
      </c>
      <c r="CI98" s="16">
        <f t="shared" si="195"/>
        <v>0</v>
      </c>
      <c r="CJ98" s="16">
        <f t="shared" si="195"/>
        <v>0</v>
      </c>
      <c r="CK98" s="16">
        <f t="shared" si="195"/>
        <v>0</v>
      </c>
      <c r="CL98" s="16">
        <f t="shared" si="195"/>
        <v>0</v>
      </c>
      <c r="CM98" s="16">
        <f t="shared" si="195"/>
        <v>0</v>
      </c>
      <c r="CN98" s="16">
        <f t="shared" si="195"/>
        <v>0</v>
      </c>
      <c r="CO98" s="16">
        <f t="shared" si="195"/>
        <v>0</v>
      </c>
      <c r="CP98" s="16">
        <f t="shared" si="195"/>
        <v>0</v>
      </c>
      <c r="CQ98" s="16">
        <f t="shared" si="195"/>
        <v>0</v>
      </c>
      <c r="CR98" s="16">
        <f t="shared" si="195"/>
        <v>0</v>
      </c>
      <c r="CS98" s="16">
        <f t="shared" si="195"/>
        <v>10.6</v>
      </c>
      <c r="CT98" s="16">
        <f t="shared" si="195"/>
        <v>0</v>
      </c>
      <c r="CU98" s="16">
        <f t="shared" si="195"/>
        <v>0</v>
      </c>
      <c r="CV98" s="16">
        <f t="shared" si="195"/>
        <v>0</v>
      </c>
      <c r="CW98" s="16">
        <f t="shared" si="195"/>
        <v>0</v>
      </c>
      <c r="CX98" s="16">
        <f t="shared" si="195"/>
        <v>0</v>
      </c>
      <c r="CY98" s="16">
        <f t="shared" si="195"/>
        <v>0</v>
      </c>
      <c r="CZ98" s="16">
        <f t="shared" si="195"/>
        <v>0</v>
      </c>
      <c r="DA98" s="16">
        <f t="shared" si="195"/>
        <v>13.1</v>
      </c>
      <c r="DB98" s="16">
        <f t="shared" si="195"/>
        <v>13.1</v>
      </c>
      <c r="DC98" s="16">
        <f t="shared" si="195"/>
        <v>13.1</v>
      </c>
      <c r="DD98" s="16">
        <f t="shared" si="195"/>
        <v>13.1</v>
      </c>
      <c r="DE98" s="16">
        <f t="shared" si="195"/>
        <v>0</v>
      </c>
      <c r="DF98" s="16">
        <f t="shared" si="195"/>
        <v>0</v>
      </c>
      <c r="DG98" s="16">
        <f t="shared" si="195"/>
        <v>0</v>
      </c>
      <c r="DH98" s="16">
        <f t="shared" si="195"/>
        <v>0</v>
      </c>
      <c r="DI98" s="16">
        <f t="shared" si="195"/>
        <v>0</v>
      </c>
      <c r="DJ98" s="16">
        <f t="shared" si="195"/>
        <v>0</v>
      </c>
      <c r="DK98" s="16">
        <f t="shared" si="195"/>
        <v>5.6</v>
      </c>
      <c r="DL98" s="16">
        <f t="shared" si="195"/>
        <v>5.6</v>
      </c>
      <c r="DM98" s="16">
        <f t="shared" si="195"/>
        <v>5.6</v>
      </c>
      <c r="DN98" s="16">
        <f t="shared" si="195"/>
        <v>5.6</v>
      </c>
      <c r="DO98" s="16">
        <f t="shared" si="195"/>
        <v>5.6</v>
      </c>
      <c r="DP98" s="17">
        <f t="shared" si="195"/>
        <v>0</v>
      </c>
      <c r="DQ98" s="17">
        <f t="shared" si="195"/>
        <v>0</v>
      </c>
      <c r="DR98" s="17">
        <f t="shared" si="195"/>
        <v>0</v>
      </c>
      <c r="DS98" s="17">
        <f t="shared" si="195"/>
        <v>0</v>
      </c>
      <c r="DT98" s="17">
        <f t="shared" si="195"/>
        <v>0</v>
      </c>
      <c r="DU98" s="16">
        <f t="shared" si="195"/>
        <v>0</v>
      </c>
      <c r="DV98" s="16">
        <f t="shared" si="195"/>
        <v>0</v>
      </c>
      <c r="DW98" s="16">
        <f t="shared" si="195"/>
        <v>0</v>
      </c>
      <c r="DX98" s="16">
        <f t="shared" si="195"/>
        <v>0</v>
      </c>
      <c r="DY98" s="16">
        <f t="shared" si="195"/>
        <v>0</v>
      </c>
      <c r="DZ98" s="16">
        <f t="shared" si="195"/>
        <v>0</v>
      </c>
      <c r="EA98" s="16">
        <f t="shared" si="195"/>
        <v>0</v>
      </c>
      <c r="EB98" s="16">
        <f t="shared" si="195"/>
        <v>0</v>
      </c>
      <c r="EC98" s="16">
        <f t="shared" si="195"/>
        <v>0</v>
      </c>
      <c r="ED98" s="16">
        <f aca="true" t="shared" si="196" ref="ED98:GO98">ED97-ED96</f>
        <v>0</v>
      </c>
      <c r="EE98" s="16">
        <f t="shared" si="196"/>
        <v>0</v>
      </c>
      <c r="EF98" s="16">
        <f t="shared" si="196"/>
        <v>0</v>
      </c>
      <c r="EG98" s="16">
        <f t="shared" si="196"/>
        <v>0</v>
      </c>
      <c r="EH98" s="16">
        <f t="shared" si="196"/>
        <v>0</v>
      </c>
      <c r="EI98" s="16">
        <f t="shared" si="196"/>
        <v>0</v>
      </c>
      <c r="EJ98" s="16">
        <f t="shared" si="196"/>
        <v>0</v>
      </c>
      <c r="EK98" s="16">
        <f t="shared" si="196"/>
        <v>13.3</v>
      </c>
      <c r="EL98" s="16">
        <f t="shared" si="196"/>
        <v>13.3</v>
      </c>
      <c r="EM98" s="16">
        <f t="shared" si="196"/>
        <v>13.3</v>
      </c>
      <c r="EN98" s="16">
        <f t="shared" si="196"/>
        <v>28.200000000000003</v>
      </c>
      <c r="EO98" s="16">
        <f t="shared" si="196"/>
        <v>28.200000000000003</v>
      </c>
      <c r="EP98" s="16">
        <f t="shared" si="196"/>
        <v>0</v>
      </c>
      <c r="EQ98" s="16">
        <f t="shared" si="196"/>
        <v>0</v>
      </c>
      <c r="ER98" s="16">
        <f t="shared" si="196"/>
        <v>0</v>
      </c>
      <c r="ES98" s="16">
        <f t="shared" si="196"/>
        <v>0</v>
      </c>
      <c r="ET98" s="16">
        <f t="shared" si="196"/>
        <v>0</v>
      </c>
      <c r="EU98" s="16">
        <f t="shared" si="196"/>
        <v>0</v>
      </c>
      <c r="EV98" s="16">
        <f t="shared" si="196"/>
        <v>0</v>
      </c>
      <c r="EW98" s="16">
        <f t="shared" si="196"/>
        <v>0</v>
      </c>
      <c r="EX98" s="16">
        <f t="shared" si="196"/>
        <v>0</v>
      </c>
      <c r="EY98" s="16">
        <f t="shared" si="196"/>
        <v>0</v>
      </c>
      <c r="EZ98" s="16">
        <f t="shared" si="196"/>
        <v>0</v>
      </c>
      <c r="FA98" s="16">
        <f t="shared" si="196"/>
        <v>0</v>
      </c>
      <c r="FB98" s="16">
        <f t="shared" si="196"/>
        <v>0</v>
      </c>
      <c r="FC98" s="16">
        <f t="shared" si="196"/>
        <v>0</v>
      </c>
      <c r="FD98" s="16">
        <f t="shared" si="196"/>
        <v>0</v>
      </c>
      <c r="FE98" s="16">
        <f t="shared" si="196"/>
        <v>0</v>
      </c>
      <c r="FF98" s="16">
        <f t="shared" si="196"/>
        <v>0</v>
      </c>
      <c r="FG98" s="16">
        <f t="shared" si="196"/>
        <v>0</v>
      </c>
      <c r="FH98" s="16">
        <f t="shared" si="196"/>
        <v>17.6</v>
      </c>
      <c r="FI98" s="16">
        <f t="shared" si="196"/>
        <v>17.6</v>
      </c>
      <c r="FJ98" s="16">
        <f t="shared" si="196"/>
        <v>17.6</v>
      </c>
      <c r="FK98" s="16">
        <f t="shared" si="196"/>
        <v>17.6</v>
      </c>
      <c r="FL98" s="16">
        <f t="shared" si="196"/>
        <v>17.6</v>
      </c>
      <c r="FM98" s="16">
        <f t="shared" si="196"/>
        <v>17.6</v>
      </c>
      <c r="FN98" s="16">
        <f t="shared" si="196"/>
        <v>17.6</v>
      </c>
      <c r="FO98" s="16">
        <f t="shared" si="196"/>
        <v>17.6</v>
      </c>
      <c r="FP98" s="16">
        <f t="shared" si="196"/>
        <v>17.6</v>
      </c>
      <c r="FQ98" s="16">
        <f t="shared" si="196"/>
        <v>17.6</v>
      </c>
      <c r="FR98" s="16">
        <f t="shared" si="196"/>
        <v>0</v>
      </c>
      <c r="FS98" s="16">
        <f t="shared" si="196"/>
        <v>0</v>
      </c>
      <c r="FT98" s="16">
        <f t="shared" si="196"/>
        <v>0</v>
      </c>
      <c r="FU98" s="16">
        <f t="shared" si="196"/>
        <v>0</v>
      </c>
      <c r="FV98" s="16">
        <f t="shared" si="196"/>
        <v>0</v>
      </c>
      <c r="FW98" s="16">
        <f t="shared" si="196"/>
        <v>0</v>
      </c>
      <c r="FX98" s="16">
        <f t="shared" si="196"/>
        <v>0</v>
      </c>
      <c r="FY98" s="16">
        <f t="shared" si="196"/>
        <v>0</v>
      </c>
      <c r="FZ98" s="16">
        <f t="shared" si="196"/>
        <v>0</v>
      </c>
      <c r="GA98" s="16">
        <f t="shared" si="196"/>
        <v>0</v>
      </c>
      <c r="GB98" s="16">
        <f t="shared" si="196"/>
        <v>0</v>
      </c>
      <c r="GC98" s="16">
        <f t="shared" si="196"/>
        <v>0</v>
      </c>
      <c r="GD98" s="16">
        <f t="shared" si="196"/>
        <v>0</v>
      </c>
      <c r="GE98" s="16">
        <f t="shared" si="196"/>
        <v>0</v>
      </c>
      <c r="GF98" s="16">
        <f t="shared" si="196"/>
        <v>0</v>
      </c>
      <c r="GG98" s="16">
        <f t="shared" si="196"/>
        <v>0</v>
      </c>
      <c r="GH98" s="16">
        <f t="shared" si="196"/>
        <v>0</v>
      </c>
      <c r="GI98" s="16">
        <f t="shared" si="196"/>
        <v>0</v>
      </c>
      <c r="GJ98" s="16">
        <f t="shared" si="196"/>
        <v>0</v>
      </c>
      <c r="GK98" s="16">
        <f t="shared" si="196"/>
        <v>0</v>
      </c>
      <c r="GL98" s="16">
        <f t="shared" si="196"/>
        <v>0</v>
      </c>
      <c r="GM98" s="16">
        <f t="shared" si="196"/>
        <v>0</v>
      </c>
      <c r="GN98" s="16">
        <f t="shared" si="196"/>
        <v>0</v>
      </c>
      <c r="GO98" s="16">
        <f t="shared" si="196"/>
        <v>0</v>
      </c>
    </row>
    <row r="99" spans="1:256" s="9" customFormat="1" ht="15">
      <c r="A99" s="4" t="s">
        <v>254</v>
      </c>
      <c r="B99" s="4"/>
      <c r="C99" s="12" t="s">
        <v>216</v>
      </c>
      <c r="G99" s="19">
        <v>6</v>
      </c>
      <c r="O99" s="19">
        <v>8.7</v>
      </c>
      <c r="X99" s="29"/>
      <c r="Y99" s="19">
        <v>0.7</v>
      </c>
      <c r="AY99" s="30"/>
      <c r="BB99" s="30">
        <v>8.2</v>
      </c>
      <c r="BT99" s="31"/>
      <c r="BU99" s="31"/>
      <c r="BV99" s="31"/>
      <c r="CB99" s="30">
        <v>8</v>
      </c>
      <c r="CC99" s="30">
        <v>8</v>
      </c>
      <c r="CD99" s="19">
        <v>6</v>
      </c>
      <c r="CF99" s="30">
        <v>4.9</v>
      </c>
      <c r="CV99" s="19">
        <v>8</v>
      </c>
      <c r="CW99" s="9">
        <v>8</v>
      </c>
      <c r="CZ99" s="57"/>
      <c r="DA99" s="30">
        <v>10</v>
      </c>
      <c r="DB99" s="30">
        <v>6</v>
      </c>
      <c r="DD99" s="19">
        <v>3.6</v>
      </c>
      <c r="DP99" s="29"/>
      <c r="DQ99" s="29"/>
      <c r="DR99" s="29"/>
      <c r="DS99" s="29"/>
      <c r="DT99" s="29"/>
      <c r="FD99" s="30">
        <v>15</v>
      </c>
      <c r="FF99" s="30">
        <v>14.6</v>
      </c>
      <c r="FG99" s="99">
        <v>15</v>
      </c>
      <c r="FH99" s="99">
        <v>15</v>
      </c>
      <c r="FI99" s="99">
        <v>7.7</v>
      </c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197" s="42" customFormat="1" ht="15">
      <c r="A100" s="35"/>
      <c r="B100" s="35"/>
      <c r="C100" s="24" t="s">
        <v>217</v>
      </c>
      <c r="D100" s="25">
        <v>14.7</v>
      </c>
      <c r="E100" s="25">
        <f>D101</f>
        <v>14.7</v>
      </c>
      <c r="F100" s="25">
        <f aca="true" t="shared" si="197" ref="F100:BQ100">E101</f>
        <v>14.7</v>
      </c>
      <c r="G100" s="25">
        <f t="shared" si="197"/>
        <v>14.7</v>
      </c>
      <c r="H100" s="25">
        <f t="shared" si="197"/>
        <v>8.7</v>
      </c>
      <c r="I100" s="25">
        <f t="shared" si="197"/>
        <v>8.7</v>
      </c>
      <c r="J100" s="25">
        <f t="shared" si="197"/>
        <v>8.7</v>
      </c>
      <c r="K100" s="25">
        <f t="shared" si="197"/>
        <v>8.7</v>
      </c>
      <c r="L100" s="25">
        <f t="shared" si="197"/>
        <v>8.7</v>
      </c>
      <c r="M100" s="25">
        <f t="shared" si="197"/>
        <v>8.7</v>
      </c>
      <c r="N100" s="25">
        <f t="shared" si="197"/>
        <v>8.7</v>
      </c>
      <c r="O100" s="37">
        <f t="shared" si="197"/>
        <v>8.7</v>
      </c>
      <c r="P100" s="25">
        <f t="shared" si="197"/>
        <v>0</v>
      </c>
      <c r="Q100" s="25">
        <f t="shared" si="197"/>
        <v>0</v>
      </c>
      <c r="R100" s="25">
        <f>Q101+0.7</f>
        <v>0.7</v>
      </c>
      <c r="S100" s="25">
        <f t="shared" si="197"/>
        <v>0.7</v>
      </c>
      <c r="T100" s="25">
        <f t="shared" si="197"/>
        <v>0.7</v>
      </c>
      <c r="U100" s="25">
        <f t="shared" si="197"/>
        <v>0.7</v>
      </c>
      <c r="V100" s="25">
        <f t="shared" si="197"/>
        <v>0.7</v>
      </c>
      <c r="W100" s="25">
        <f t="shared" si="197"/>
        <v>0.7</v>
      </c>
      <c r="X100" s="37">
        <f t="shared" si="197"/>
        <v>0.7</v>
      </c>
      <c r="Y100" s="25">
        <f t="shared" si="197"/>
        <v>0.7</v>
      </c>
      <c r="Z100" s="25">
        <f t="shared" si="197"/>
        <v>0</v>
      </c>
      <c r="AA100" s="25">
        <f t="shared" si="197"/>
        <v>0</v>
      </c>
      <c r="AB100" s="25">
        <f t="shared" si="197"/>
        <v>0</v>
      </c>
      <c r="AC100" s="25">
        <f t="shared" si="197"/>
        <v>0</v>
      </c>
      <c r="AD100" s="25">
        <f t="shared" si="197"/>
        <v>0</v>
      </c>
      <c r="AE100" s="25">
        <f t="shared" si="197"/>
        <v>0</v>
      </c>
      <c r="AF100" s="25">
        <f t="shared" si="197"/>
        <v>0</v>
      </c>
      <c r="AG100" s="25">
        <f t="shared" si="197"/>
        <v>0</v>
      </c>
      <c r="AH100" s="25">
        <f t="shared" si="197"/>
        <v>0</v>
      </c>
      <c r="AI100" s="25">
        <f t="shared" si="197"/>
        <v>0</v>
      </c>
      <c r="AJ100" s="25">
        <f t="shared" si="197"/>
        <v>0</v>
      </c>
      <c r="AK100" s="25">
        <f t="shared" si="197"/>
        <v>0</v>
      </c>
      <c r="AL100" s="25">
        <f t="shared" si="197"/>
        <v>0</v>
      </c>
      <c r="AM100" s="25">
        <f t="shared" si="197"/>
        <v>0</v>
      </c>
      <c r="AN100" s="25">
        <f t="shared" si="197"/>
        <v>0</v>
      </c>
      <c r="AO100" s="25">
        <f t="shared" si="197"/>
        <v>0</v>
      </c>
      <c r="AP100" s="25">
        <f t="shared" si="197"/>
        <v>0</v>
      </c>
      <c r="AQ100" s="25">
        <f t="shared" si="197"/>
        <v>0</v>
      </c>
      <c r="AR100" s="25">
        <f t="shared" si="197"/>
        <v>0</v>
      </c>
      <c r="AS100" s="25">
        <f t="shared" si="197"/>
        <v>0</v>
      </c>
      <c r="AT100" s="25">
        <f>AS101+8.2</f>
        <v>8.2</v>
      </c>
      <c r="AU100" s="25">
        <f t="shared" si="197"/>
        <v>8.2</v>
      </c>
      <c r="AV100" s="25">
        <f t="shared" si="197"/>
        <v>8.2</v>
      </c>
      <c r="AW100" s="25">
        <f t="shared" si="197"/>
        <v>8.2</v>
      </c>
      <c r="AX100" s="25">
        <f t="shared" si="197"/>
        <v>8.2</v>
      </c>
      <c r="AY100" s="25">
        <f t="shared" si="197"/>
        <v>8.2</v>
      </c>
      <c r="AZ100" s="25">
        <f t="shared" si="197"/>
        <v>8.2</v>
      </c>
      <c r="BA100" s="25">
        <f t="shared" si="197"/>
        <v>8.2</v>
      </c>
      <c r="BB100" s="25">
        <f t="shared" si="197"/>
        <v>8.2</v>
      </c>
      <c r="BC100" s="25">
        <f t="shared" si="197"/>
        <v>0</v>
      </c>
      <c r="BD100" s="25">
        <f t="shared" si="197"/>
        <v>0</v>
      </c>
      <c r="BE100" s="25">
        <f t="shared" si="197"/>
        <v>0</v>
      </c>
      <c r="BF100" s="25">
        <f t="shared" si="197"/>
        <v>0</v>
      </c>
      <c r="BG100" s="25">
        <f t="shared" si="197"/>
        <v>0</v>
      </c>
      <c r="BH100" s="25">
        <f t="shared" si="197"/>
        <v>0</v>
      </c>
      <c r="BI100" s="25">
        <f t="shared" si="197"/>
        <v>0</v>
      </c>
      <c r="BJ100" s="25">
        <f t="shared" si="197"/>
        <v>0</v>
      </c>
      <c r="BK100" s="25">
        <f t="shared" si="197"/>
        <v>0</v>
      </c>
      <c r="BL100" s="25">
        <f t="shared" si="197"/>
        <v>0</v>
      </c>
      <c r="BM100" s="25">
        <f t="shared" si="197"/>
        <v>0</v>
      </c>
      <c r="BN100" s="25">
        <f t="shared" si="197"/>
        <v>0</v>
      </c>
      <c r="BO100" s="25">
        <f t="shared" si="197"/>
        <v>0</v>
      </c>
      <c r="BP100" s="25">
        <f t="shared" si="197"/>
        <v>0</v>
      </c>
      <c r="BQ100" s="25">
        <f t="shared" si="197"/>
        <v>0</v>
      </c>
      <c r="BR100" s="25">
        <f aca="true" t="shared" si="198" ref="BR100:EC100">BQ101</f>
        <v>0</v>
      </c>
      <c r="BS100" s="25">
        <f t="shared" si="198"/>
        <v>0</v>
      </c>
      <c r="BT100" s="40">
        <f t="shared" si="198"/>
        <v>0</v>
      </c>
      <c r="BU100" s="40">
        <f t="shared" si="198"/>
        <v>0</v>
      </c>
      <c r="BV100" s="40">
        <f t="shared" si="198"/>
        <v>0</v>
      </c>
      <c r="BW100" s="25">
        <f t="shared" si="198"/>
        <v>0</v>
      </c>
      <c r="BX100" s="25">
        <f t="shared" si="198"/>
        <v>0</v>
      </c>
      <c r="BY100" s="25">
        <f>BX101+26.9</f>
        <v>26.9</v>
      </c>
      <c r="BZ100" s="25">
        <f t="shared" si="198"/>
        <v>26.9</v>
      </c>
      <c r="CA100" s="25">
        <f t="shared" si="198"/>
        <v>26.9</v>
      </c>
      <c r="CB100" s="25">
        <f t="shared" si="198"/>
        <v>26.9</v>
      </c>
      <c r="CC100" s="25">
        <f t="shared" si="198"/>
        <v>18.9</v>
      </c>
      <c r="CD100" s="25">
        <f t="shared" si="198"/>
        <v>10.899999999999999</v>
      </c>
      <c r="CE100" s="25">
        <f t="shared" si="198"/>
        <v>4.899999999999999</v>
      </c>
      <c r="CF100" s="25">
        <f t="shared" si="198"/>
        <v>4.899999999999999</v>
      </c>
      <c r="CG100" s="25">
        <f t="shared" si="198"/>
        <v>0</v>
      </c>
      <c r="CH100" s="25">
        <f t="shared" si="198"/>
        <v>0</v>
      </c>
      <c r="CI100" s="25">
        <f t="shared" si="198"/>
        <v>0</v>
      </c>
      <c r="CJ100" s="25">
        <f t="shared" si="198"/>
        <v>0</v>
      </c>
      <c r="CK100" s="25">
        <f t="shared" si="198"/>
        <v>0</v>
      </c>
      <c r="CL100" s="25">
        <f t="shared" si="198"/>
        <v>0</v>
      </c>
      <c r="CM100" s="25">
        <f t="shared" si="198"/>
        <v>0</v>
      </c>
      <c r="CN100" s="25">
        <f t="shared" si="198"/>
        <v>0</v>
      </c>
      <c r="CO100" s="25">
        <f t="shared" si="198"/>
        <v>0</v>
      </c>
      <c r="CP100" s="25">
        <f>CO101+35.6</f>
        <v>35.6</v>
      </c>
      <c r="CQ100" s="25">
        <f t="shared" si="198"/>
        <v>35.6</v>
      </c>
      <c r="CR100" s="25">
        <f t="shared" si="198"/>
        <v>35.6</v>
      </c>
      <c r="CS100" s="25">
        <f t="shared" si="198"/>
        <v>35.6</v>
      </c>
      <c r="CT100" s="25">
        <f t="shared" si="198"/>
        <v>35.6</v>
      </c>
      <c r="CU100" s="25">
        <f t="shared" si="198"/>
        <v>35.6</v>
      </c>
      <c r="CV100" s="25">
        <f t="shared" si="198"/>
        <v>35.6</v>
      </c>
      <c r="CW100" s="25">
        <f t="shared" si="198"/>
        <v>27.6</v>
      </c>
      <c r="CX100" s="25">
        <f t="shared" si="198"/>
        <v>19.6</v>
      </c>
      <c r="CY100" s="25">
        <f t="shared" si="198"/>
        <v>19.6</v>
      </c>
      <c r="CZ100" s="25">
        <f t="shared" si="198"/>
        <v>19.6</v>
      </c>
      <c r="DA100" s="25">
        <f t="shared" si="198"/>
        <v>19.6</v>
      </c>
      <c r="DB100" s="25">
        <f t="shared" si="198"/>
        <v>9.600000000000001</v>
      </c>
      <c r="DC100" s="25">
        <f t="shared" si="198"/>
        <v>3.6000000000000014</v>
      </c>
      <c r="DD100" s="25">
        <f t="shared" si="198"/>
        <v>3.6000000000000014</v>
      </c>
      <c r="DE100" s="25">
        <f t="shared" si="198"/>
        <v>0</v>
      </c>
      <c r="DF100" s="25">
        <f t="shared" si="198"/>
        <v>0</v>
      </c>
      <c r="DG100" s="25">
        <f t="shared" si="198"/>
        <v>0</v>
      </c>
      <c r="DH100" s="25">
        <f t="shared" si="198"/>
        <v>0</v>
      </c>
      <c r="DI100" s="25">
        <f t="shared" si="198"/>
        <v>0</v>
      </c>
      <c r="DJ100" s="25">
        <f t="shared" si="198"/>
        <v>0</v>
      </c>
      <c r="DK100" s="25">
        <f t="shared" si="198"/>
        <v>0</v>
      </c>
      <c r="DL100" s="25">
        <f t="shared" si="198"/>
        <v>0</v>
      </c>
      <c r="DM100" s="25">
        <f t="shared" si="198"/>
        <v>0</v>
      </c>
      <c r="DN100" s="25">
        <f t="shared" si="198"/>
        <v>0</v>
      </c>
      <c r="DO100" s="25">
        <f t="shared" si="198"/>
        <v>0</v>
      </c>
      <c r="DP100" s="37">
        <f t="shared" si="198"/>
        <v>0</v>
      </c>
      <c r="DQ100" s="37">
        <f t="shared" si="198"/>
        <v>0</v>
      </c>
      <c r="DR100" s="37">
        <f t="shared" si="198"/>
        <v>0</v>
      </c>
      <c r="DS100" s="37">
        <f t="shared" si="198"/>
        <v>0</v>
      </c>
      <c r="DT100" s="37">
        <f t="shared" si="198"/>
        <v>0</v>
      </c>
      <c r="DU100" s="25">
        <f t="shared" si="198"/>
        <v>0</v>
      </c>
      <c r="DV100" s="25">
        <f t="shared" si="198"/>
        <v>0</v>
      </c>
      <c r="DW100" s="25">
        <f t="shared" si="198"/>
        <v>0</v>
      </c>
      <c r="DX100" s="25">
        <f t="shared" si="198"/>
        <v>0</v>
      </c>
      <c r="DY100" s="25">
        <f t="shared" si="198"/>
        <v>0</v>
      </c>
      <c r="DZ100" s="25">
        <f t="shared" si="198"/>
        <v>0</v>
      </c>
      <c r="EA100" s="25">
        <f t="shared" si="198"/>
        <v>0</v>
      </c>
      <c r="EB100" s="25">
        <f t="shared" si="198"/>
        <v>0</v>
      </c>
      <c r="EC100" s="25">
        <f t="shared" si="198"/>
        <v>0</v>
      </c>
      <c r="ED100" s="25">
        <f aca="true" t="shared" si="199" ref="ED100:GO100">EC101</f>
        <v>0</v>
      </c>
      <c r="EE100" s="25">
        <f t="shared" si="199"/>
        <v>0</v>
      </c>
      <c r="EF100" s="25">
        <f t="shared" si="199"/>
        <v>0</v>
      </c>
      <c r="EG100" s="25">
        <f t="shared" si="199"/>
        <v>0</v>
      </c>
      <c r="EH100" s="25">
        <f t="shared" si="199"/>
        <v>0</v>
      </c>
      <c r="EI100" s="25">
        <f t="shared" si="199"/>
        <v>0</v>
      </c>
      <c r="EJ100" s="25">
        <f t="shared" si="199"/>
        <v>0</v>
      </c>
      <c r="EK100" s="25">
        <f t="shared" si="199"/>
        <v>0</v>
      </c>
      <c r="EL100" s="25">
        <f t="shared" si="199"/>
        <v>0</v>
      </c>
      <c r="EM100" s="25">
        <f t="shared" si="199"/>
        <v>0</v>
      </c>
      <c r="EN100" s="25">
        <f t="shared" si="199"/>
        <v>0</v>
      </c>
      <c r="EO100" s="25">
        <f t="shared" si="199"/>
        <v>0</v>
      </c>
      <c r="EP100" s="25">
        <f t="shared" si="199"/>
        <v>0</v>
      </c>
      <c r="EQ100" s="25">
        <f t="shared" si="199"/>
        <v>0</v>
      </c>
      <c r="ER100" s="25">
        <f>EQ101</f>
        <v>0</v>
      </c>
      <c r="ES100" s="25">
        <f>ER101</f>
        <v>0</v>
      </c>
      <c r="ET100" s="25">
        <f>ES101</f>
        <v>0</v>
      </c>
      <c r="EU100" s="25">
        <f t="shared" si="199"/>
        <v>0</v>
      </c>
      <c r="EV100" s="25">
        <f t="shared" si="199"/>
        <v>0</v>
      </c>
      <c r="EW100" s="25">
        <f t="shared" si="199"/>
        <v>0</v>
      </c>
      <c r="EX100" s="25">
        <f t="shared" si="199"/>
        <v>0</v>
      </c>
      <c r="EY100" s="25">
        <f t="shared" si="199"/>
        <v>0</v>
      </c>
      <c r="EZ100" s="25">
        <f t="shared" si="199"/>
        <v>0</v>
      </c>
      <c r="FA100" s="25">
        <f t="shared" si="199"/>
        <v>0</v>
      </c>
      <c r="FB100" s="25">
        <f t="shared" si="199"/>
        <v>0</v>
      </c>
      <c r="FC100" s="25">
        <f>FB101+37.7+29.6</f>
        <v>67.30000000000001</v>
      </c>
      <c r="FD100" s="25">
        <f t="shared" si="199"/>
        <v>67.30000000000001</v>
      </c>
      <c r="FE100" s="25">
        <f t="shared" si="199"/>
        <v>52.30000000000001</v>
      </c>
      <c r="FF100" s="25">
        <f t="shared" si="199"/>
        <v>52.30000000000001</v>
      </c>
      <c r="FG100" s="25">
        <f t="shared" si="199"/>
        <v>37.70000000000001</v>
      </c>
      <c r="FH100" s="25">
        <f t="shared" si="199"/>
        <v>22.70000000000001</v>
      </c>
      <c r="FI100" s="25">
        <f t="shared" si="199"/>
        <v>7.70000000000001</v>
      </c>
      <c r="FJ100" s="25">
        <f t="shared" si="199"/>
        <v>9.769962616701378E-15</v>
      </c>
      <c r="FK100" s="25">
        <f t="shared" si="199"/>
        <v>9.769962616701378E-15</v>
      </c>
      <c r="FL100" s="25">
        <f t="shared" si="199"/>
        <v>9.769962616701378E-15</v>
      </c>
      <c r="FM100" s="25">
        <f t="shared" si="199"/>
        <v>9.769962616701378E-15</v>
      </c>
      <c r="FN100" s="25">
        <f t="shared" si="199"/>
        <v>9.769962616701378E-15</v>
      </c>
      <c r="FO100" s="25">
        <f t="shared" si="199"/>
        <v>9.769962616701378E-15</v>
      </c>
      <c r="FP100" s="25">
        <f t="shared" si="199"/>
        <v>9.769962616701378E-15</v>
      </c>
      <c r="FQ100" s="25">
        <f t="shared" si="199"/>
        <v>9.769962616701378E-15</v>
      </c>
      <c r="FR100" s="25">
        <f t="shared" si="199"/>
        <v>9.769962616701378E-15</v>
      </c>
      <c r="FS100" s="25">
        <f t="shared" si="199"/>
        <v>9.769962616701378E-15</v>
      </c>
      <c r="FT100" s="25">
        <f t="shared" si="199"/>
        <v>9.769962616701378E-15</v>
      </c>
      <c r="FU100" s="25">
        <f t="shared" si="199"/>
        <v>9.769962616701378E-15</v>
      </c>
      <c r="FV100" s="25">
        <f t="shared" si="199"/>
        <v>9.769962616701378E-15</v>
      </c>
      <c r="FW100" s="25">
        <f t="shared" si="199"/>
        <v>9.769962616701378E-15</v>
      </c>
      <c r="FX100" s="25">
        <f t="shared" si="199"/>
        <v>9.769962616701378E-15</v>
      </c>
      <c r="FY100" s="25">
        <f t="shared" si="199"/>
        <v>9.769962616701378E-15</v>
      </c>
      <c r="FZ100" s="25">
        <f t="shared" si="199"/>
        <v>9.769962616701378E-15</v>
      </c>
      <c r="GA100" s="25">
        <f t="shared" si="199"/>
        <v>9.769962616701378E-15</v>
      </c>
      <c r="GB100" s="25">
        <f t="shared" si="199"/>
        <v>9.769962616701378E-15</v>
      </c>
      <c r="GC100" s="25">
        <f t="shared" si="199"/>
        <v>9.769962616701378E-15</v>
      </c>
      <c r="GD100" s="25">
        <f t="shared" si="199"/>
        <v>9.769962616701378E-15</v>
      </c>
      <c r="GE100" s="25">
        <f t="shared" si="199"/>
        <v>9.769962616701378E-15</v>
      </c>
      <c r="GF100" s="25">
        <f t="shared" si="199"/>
        <v>9.769962616701378E-15</v>
      </c>
      <c r="GG100" s="25">
        <f t="shared" si="199"/>
        <v>9.769962616701378E-15</v>
      </c>
      <c r="GH100" s="25">
        <f t="shared" si="199"/>
        <v>9.769962616701378E-15</v>
      </c>
      <c r="GI100" s="25">
        <f t="shared" si="199"/>
        <v>9.769962616701378E-15</v>
      </c>
      <c r="GJ100" s="25">
        <f t="shared" si="199"/>
        <v>9.769962616701378E-15</v>
      </c>
      <c r="GK100" s="25">
        <f t="shared" si="199"/>
        <v>9.769962616701378E-15</v>
      </c>
      <c r="GL100" s="25">
        <f t="shared" si="199"/>
        <v>9.769962616701378E-15</v>
      </c>
      <c r="GM100" s="25">
        <f t="shared" si="199"/>
        <v>9.769962616701378E-15</v>
      </c>
      <c r="GN100" s="25">
        <f t="shared" si="199"/>
        <v>9.769962616701378E-15</v>
      </c>
      <c r="GO100" s="25">
        <f t="shared" si="199"/>
        <v>9.769962616701378E-15</v>
      </c>
    </row>
    <row r="101" spans="1:197" s="42" customFormat="1" ht="15">
      <c r="A101" s="35"/>
      <c r="B101" s="35"/>
      <c r="C101" s="24" t="s">
        <v>218</v>
      </c>
      <c r="D101" s="43">
        <f>D100-D99</f>
        <v>14.7</v>
      </c>
      <c r="E101" s="43">
        <f>E100-E99</f>
        <v>14.7</v>
      </c>
      <c r="F101" s="43">
        <f aca="true" t="shared" si="200" ref="F101:BQ101">F100-F99</f>
        <v>14.7</v>
      </c>
      <c r="G101" s="43">
        <f t="shared" si="200"/>
        <v>8.7</v>
      </c>
      <c r="H101" s="43">
        <f t="shared" si="200"/>
        <v>8.7</v>
      </c>
      <c r="I101" s="43">
        <f t="shared" si="200"/>
        <v>8.7</v>
      </c>
      <c r="J101" s="43">
        <f t="shared" si="200"/>
        <v>8.7</v>
      </c>
      <c r="K101" s="43">
        <f t="shared" si="200"/>
        <v>8.7</v>
      </c>
      <c r="L101" s="43">
        <f t="shared" si="200"/>
        <v>8.7</v>
      </c>
      <c r="M101" s="43">
        <f t="shared" si="200"/>
        <v>8.7</v>
      </c>
      <c r="N101" s="43">
        <f t="shared" si="200"/>
        <v>8.7</v>
      </c>
      <c r="O101" s="44">
        <f t="shared" si="200"/>
        <v>0</v>
      </c>
      <c r="P101" s="43">
        <f t="shared" si="200"/>
        <v>0</v>
      </c>
      <c r="Q101" s="43">
        <f t="shared" si="200"/>
        <v>0</v>
      </c>
      <c r="R101" s="43">
        <f t="shared" si="200"/>
        <v>0.7</v>
      </c>
      <c r="S101" s="43">
        <f t="shared" si="200"/>
        <v>0.7</v>
      </c>
      <c r="T101" s="43">
        <f t="shared" si="200"/>
        <v>0.7</v>
      </c>
      <c r="U101" s="43">
        <f t="shared" si="200"/>
        <v>0.7</v>
      </c>
      <c r="V101" s="43">
        <f t="shared" si="200"/>
        <v>0.7</v>
      </c>
      <c r="W101" s="43">
        <f t="shared" si="200"/>
        <v>0.7</v>
      </c>
      <c r="X101" s="44">
        <f t="shared" si="200"/>
        <v>0.7</v>
      </c>
      <c r="Y101" s="43">
        <f t="shared" si="200"/>
        <v>0</v>
      </c>
      <c r="Z101" s="43">
        <f t="shared" si="200"/>
        <v>0</v>
      </c>
      <c r="AA101" s="43">
        <f t="shared" si="200"/>
        <v>0</v>
      </c>
      <c r="AB101" s="43">
        <f t="shared" si="200"/>
        <v>0</v>
      </c>
      <c r="AC101" s="43">
        <f t="shared" si="200"/>
        <v>0</v>
      </c>
      <c r="AD101" s="43">
        <f t="shared" si="200"/>
        <v>0</v>
      </c>
      <c r="AE101" s="43">
        <f t="shared" si="200"/>
        <v>0</v>
      </c>
      <c r="AF101" s="43">
        <f t="shared" si="200"/>
        <v>0</v>
      </c>
      <c r="AG101" s="43">
        <f t="shared" si="200"/>
        <v>0</v>
      </c>
      <c r="AH101" s="43">
        <f t="shared" si="200"/>
        <v>0</v>
      </c>
      <c r="AI101" s="43">
        <f t="shared" si="200"/>
        <v>0</v>
      </c>
      <c r="AJ101" s="43">
        <f t="shared" si="200"/>
        <v>0</v>
      </c>
      <c r="AK101" s="43">
        <f t="shared" si="200"/>
        <v>0</v>
      </c>
      <c r="AL101" s="43">
        <f t="shared" si="200"/>
        <v>0</v>
      </c>
      <c r="AM101" s="43">
        <f t="shared" si="200"/>
        <v>0</v>
      </c>
      <c r="AN101" s="43">
        <f t="shared" si="200"/>
        <v>0</v>
      </c>
      <c r="AO101" s="43">
        <f t="shared" si="200"/>
        <v>0</v>
      </c>
      <c r="AP101" s="43">
        <f t="shared" si="200"/>
        <v>0</v>
      </c>
      <c r="AQ101" s="43">
        <f t="shared" si="200"/>
        <v>0</v>
      </c>
      <c r="AR101" s="43">
        <f t="shared" si="200"/>
        <v>0</v>
      </c>
      <c r="AS101" s="43">
        <f t="shared" si="200"/>
        <v>0</v>
      </c>
      <c r="AT101" s="43">
        <f t="shared" si="200"/>
        <v>8.2</v>
      </c>
      <c r="AU101" s="43">
        <f t="shared" si="200"/>
        <v>8.2</v>
      </c>
      <c r="AV101" s="43">
        <f t="shared" si="200"/>
        <v>8.2</v>
      </c>
      <c r="AW101" s="43">
        <f t="shared" si="200"/>
        <v>8.2</v>
      </c>
      <c r="AX101" s="43">
        <f t="shared" si="200"/>
        <v>8.2</v>
      </c>
      <c r="AY101" s="43">
        <f t="shared" si="200"/>
        <v>8.2</v>
      </c>
      <c r="AZ101" s="43">
        <f t="shared" si="200"/>
        <v>8.2</v>
      </c>
      <c r="BA101" s="43">
        <f t="shared" si="200"/>
        <v>8.2</v>
      </c>
      <c r="BB101" s="43">
        <f t="shared" si="200"/>
        <v>0</v>
      </c>
      <c r="BC101" s="43">
        <f t="shared" si="200"/>
        <v>0</v>
      </c>
      <c r="BD101" s="43">
        <f t="shared" si="200"/>
        <v>0</v>
      </c>
      <c r="BE101" s="43">
        <f t="shared" si="200"/>
        <v>0</v>
      </c>
      <c r="BF101" s="43">
        <f t="shared" si="200"/>
        <v>0</v>
      </c>
      <c r="BG101" s="43">
        <f t="shared" si="200"/>
        <v>0</v>
      </c>
      <c r="BH101" s="43">
        <f t="shared" si="200"/>
        <v>0</v>
      </c>
      <c r="BI101" s="43">
        <f t="shared" si="200"/>
        <v>0</v>
      </c>
      <c r="BJ101" s="43">
        <f t="shared" si="200"/>
        <v>0</v>
      </c>
      <c r="BK101" s="43">
        <f t="shared" si="200"/>
        <v>0</v>
      </c>
      <c r="BL101" s="43">
        <f t="shared" si="200"/>
        <v>0</v>
      </c>
      <c r="BM101" s="43">
        <f t="shared" si="200"/>
        <v>0</v>
      </c>
      <c r="BN101" s="43">
        <f t="shared" si="200"/>
        <v>0</v>
      </c>
      <c r="BO101" s="43">
        <f t="shared" si="200"/>
        <v>0</v>
      </c>
      <c r="BP101" s="43">
        <f t="shared" si="200"/>
        <v>0</v>
      </c>
      <c r="BQ101" s="43">
        <f t="shared" si="200"/>
        <v>0</v>
      </c>
      <c r="BR101" s="43">
        <f aca="true" t="shared" si="201" ref="BR101:EC101">BR100-BR99</f>
        <v>0</v>
      </c>
      <c r="BS101" s="43">
        <f t="shared" si="201"/>
        <v>0</v>
      </c>
      <c r="BT101" s="45">
        <f t="shared" si="201"/>
        <v>0</v>
      </c>
      <c r="BU101" s="45">
        <f t="shared" si="201"/>
        <v>0</v>
      </c>
      <c r="BV101" s="45">
        <f t="shared" si="201"/>
        <v>0</v>
      </c>
      <c r="BW101" s="43">
        <f t="shared" si="201"/>
        <v>0</v>
      </c>
      <c r="BX101" s="43">
        <f t="shared" si="201"/>
        <v>0</v>
      </c>
      <c r="BY101" s="43">
        <f t="shared" si="201"/>
        <v>26.9</v>
      </c>
      <c r="BZ101" s="43">
        <f t="shared" si="201"/>
        <v>26.9</v>
      </c>
      <c r="CA101" s="43">
        <f t="shared" si="201"/>
        <v>26.9</v>
      </c>
      <c r="CB101" s="43">
        <f t="shared" si="201"/>
        <v>18.9</v>
      </c>
      <c r="CC101" s="43">
        <f t="shared" si="201"/>
        <v>10.899999999999999</v>
      </c>
      <c r="CD101" s="43">
        <f t="shared" si="201"/>
        <v>4.899999999999999</v>
      </c>
      <c r="CE101" s="43">
        <f t="shared" si="201"/>
        <v>4.899999999999999</v>
      </c>
      <c r="CF101" s="43">
        <f t="shared" si="201"/>
        <v>0</v>
      </c>
      <c r="CG101" s="43">
        <f t="shared" si="201"/>
        <v>0</v>
      </c>
      <c r="CH101" s="43">
        <f t="shared" si="201"/>
        <v>0</v>
      </c>
      <c r="CI101" s="43">
        <f t="shared" si="201"/>
        <v>0</v>
      </c>
      <c r="CJ101" s="43">
        <f t="shared" si="201"/>
        <v>0</v>
      </c>
      <c r="CK101" s="43">
        <f t="shared" si="201"/>
        <v>0</v>
      </c>
      <c r="CL101" s="43">
        <f t="shared" si="201"/>
        <v>0</v>
      </c>
      <c r="CM101" s="43">
        <f t="shared" si="201"/>
        <v>0</v>
      </c>
      <c r="CN101" s="43">
        <f t="shared" si="201"/>
        <v>0</v>
      </c>
      <c r="CO101" s="43">
        <f t="shared" si="201"/>
        <v>0</v>
      </c>
      <c r="CP101" s="43">
        <f t="shared" si="201"/>
        <v>35.6</v>
      </c>
      <c r="CQ101" s="43">
        <f t="shared" si="201"/>
        <v>35.6</v>
      </c>
      <c r="CR101" s="43">
        <f t="shared" si="201"/>
        <v>35.6</v>
      </c>
      <c r="CS101" s="43">
        <f t="shared" si="201"/>
        <v>35.6</v>
      </c>
      <c r="CT101" s="43">
        <f t="shared" si="201"/>
        <v>35.6</v>
      </c>
      <c r="CU101" s="43">
        <f t="shared" si="201"/>
        <v>35.6</v>
      </c>
      <c r="CV101" s="43">
        <f t="shared" si="201"/>
        <v>27.6</v>
      </c>
      <c r="CW101" s="43">
        <f t="shared" si="201"/>
        <v>19.6</v>
      </c>
      <c r="CX101" s="43">
        <f t="shared" si="201"/>
        <v>19.6</v>
      </c>
      <c r="CY101" s="43">
        <f t="shared" si="201"/>
        <v>19.6</v>
      </c>
      <c r="CZ101" s="43">
        <f t="shared" si="201"/>
        <v>19.6</v>
      </c>
      <c r="DA101" s="43">
        <f t="shared" si="201"/>
        <v>9.600000000000001</v>
      </c>
      <c r="DB101" s="43">
        <f t="shared" si="201"/>
        <v>3.6000000000000014</v>
      </c>
      <c r="DC101" s="43">
        <f t="shared" si="201"/>
        <v>3.6000000000000014</v>
      </c>
      <c r="DD101" s="43">
        <f t="shared" si="201"/>
        <v>0</v>
      </c>
      <c r="DE101" s="43">
        <f t="shared" si="201"/>
        <v>0</v>
      </c>
      <c r="DF101" s="43">
        <f t="shared" si="201"/>
        <v>0</v>
      </c>
      <c r="DG101" s="43">
        <f t="shared" si="201"/>
        <v>0</v>
      </c>
      <c r="DH101" s="43">
        <f t="shared" si="201"/>
        <v>0</v>
      </c>
      <c r="DI101" s="43">
        <f t="shared" si="201"/>
        <v>0</v>
      </c>
      <c r="DJ101" s="43">
        <f t="shared" si="201"/>
        <v>0</v>
      </c>
      <c r="DK101" s="43">
        <f t="shared" si="201"/>
        <v>0</v>
      </c>
      <c r="DL101" s="43">
        <f t="shared" si="201"/>
        <v>0</v>
      </c>
      <c r="DM101" s="43">
        <f t="shared" si="201"/>
        <v>0</v>
      </c>
      <c r="DN101" s="43">
        <f t="shared" si="201"/>
        <v>0</v>
      </c>
      <c r="DO101" s="43">
        <f t="shared" si="201"/>
        <v>0</v>
      </c>
      <c r="DP101" s="44">
        <f t="shared" si="201"/>
        <v>0</v>
      </c>
      <c r="DQ101" s="44">
        <f t="shared" si="201"/>
        <v>0</v>
      </c>
      <c r="DR101" s="44">
        <f t="shared" si="201"/>
        <v>0</v>
      </c>
      <c r="DS101" s="44">
        <f t="shared" si="201"/>
        <v>0</v>
      </c>
      <c r="DT101" s="44">
        <f t="shared" si="201"/>
        <v>0</v>
      </c>
      <c r="DU101" s="43">
        <f t="shared" si="201"/>
        <v>0</v>
      </c>
      <c r="DV101" s="43">
        <f t="shared" si="201"/>
        <v>0</v>
      </c>
      <c r="DW101" s="43">
        <f t="shared" si="201"/>
        <v>0</v>
      </c>
      <c r="DX101" s="43">
        <f t="shared" si="201"/>
        <v>0</v>
      </c>
      <c r="DY101" s="43">
        <f t="shared" si="201"/>
        <v>0</v>
      </c>
      <c r="DZ101" s="43">
        <f t="shared" si="201"/>
        <v>0</v>
      </c>
      <c r="EA101" s="43">
        <f t="shared" si="201"/>
        <v>0</v>
      </c>
      <c r="EB101" s="43">
        <f t="shared" si="201"/>
        <v>0</v>
      </c>
      <c r="EC101" s="43">
        <f t="shared" si="201"/>
        <v>0</v>
      </c>
      <c r="ED101" s="43">
        <f aca="true" t="shared" si="202" ref="ED101:GO101">ED100-ED99</f>
        <v>0</v>
      </c>
      <c r="EE101" s="43">
        <f t="shared" si="202"/>
        <v>0</v>
      </c>
      <c r="EF101" s="43">
        <f t="shared" si="202"/>
        <v>0</v>
      </c>
      <c r="EG101" s="43">
        <f t="shared" si="202"/>
        <v>0</v>
      </c>
      <c r="EH101" s="43">
        <f t="shared" si="202"/>
        <v>0</v>
      </c>
      <c r="EI101" s="43">
        <f t="shared" si="202"/>
        <v>0</v>
      </c>
      <c r="EJ101" s="43">
        <f t="shared" si="202"/>
        <v>0</v>
      </c>
      <c r="EK101" s="43">
        <f t="shared" si="202"/>
        <v>0</v>
      </c>
      <c r="EL101" s="43">
        <f t="shared" si="202"/>
        <v>0</v>
      </c>
      <c r="EM101" s="43">
        <f t="shared" si="202"/>
        <v>0</v>
      </c>
      <c r="EN101" s="43">
        <f t="shared" si="202"/>
        <v>0</v>
      </c>
      <c r="EO101" s="43">
        <f t="shared" si="202"/>
        <v>0</v>
      </c>
      <c r="EP101" s="43">
        <f t="shared" si="202"/>
        <v>0</v>
      </c>
      <c r="EQ101" s="43">
        <f t="shared" si="202"/>
        <v>0</v>
      </c>
      <c r="ER101" s="43">
        <f t="shared" si="202"/>
        <v>0</v>
      </c>
      <c r="ES101" s="43">
        <f t="shared" si="202"/>
        <v>0</v>
      </c>
      <c r="ET101" s="43">
        <f t="shared" si="202"/>
        <v>0</v>
      </c>
      <c r="EU101" s="43">
        <f t="shared" si="202"/>
        <v>0</v>
      </c>
      <c r="EV101" s="43">
        <f t="shared" si="202"/>
        <v>0</v>
      </c>
      <c r="EW101" s="43">
        <f t="shared" si="202"/>
        <v>0</v>
      </c>
      <c r="EX101" s="43">
        <f t="shared" si="202"/>
        <v>0</v>
      </c>
      <c r="EY101" s="43">
        <f t="shared" si="202"/>
        <v>0</v>
      </c>
      <c r="EZ101" s="43">
        <f t="shared" si="202"/>
        <v>0</v>
      </c>
      <c r="FA101" s="43">
        <f t="shared" si="202"/>
        <v>0</v>
      </c>
      <c r="FB101" s="43">
        <f t="shared" si="202"/>
        <v>0</v>
      </c>
      <c r="FC101" s="43">
        <f t="shared" si="202"/>
        <v>67.30000000000001</v>
      </c>
      <c r="FD101" s="43">
        <f t="shared" si="202"/>
        <v>52.30000000000001</v>
      </c>
      <c r="FE101" s="43">
        <f t="shared" si="202"/>
        <v>52.30000000000001</v>
      </c>
      <c r="FF101" s="43">
        <f t="shared" si="202"/>
        <v>37.70000000000001</v>
      </c>
      <c r="FG101" s="43">
        <f t="shared" si="202"/>
        <v>22.70000000000001</v>
      </c>
      <c r="FH101" s="43">
        <f t="shared" si="202"/>
        <v>7.70000000000001</v>
      </c>
      <c r="FI101" s="43">
        <f t="shared" si="202"/>
        <v>9.769962616701378E-15</v>
      </c>
      <c r="FJ101" s="43">
        <f t="shared" si="202"/>
        <v>9.769962616701378E-15</v>
      </c>
      <c r="FK101" s="43">
        <f t="shared" si="202"/>
        <v>9.769962616701378E-15</v>
      </c>
      <c r="FL101" s="43">
        <f t="shared" si="202"/>
        <v>9.769962616701378E-15</v>
      </c>
      <c r="FM101" s="43">
        <f t="shared" si="202"/>
        <v>9.769962616701378E-15</v>
      </c>
      <c r="FN101" s="43">
        <f t="shared" si="202"/>
        <v>9.769962616701378E-15</v>
      </c>
      <c r="FO101" s="43">
        <f t="shared" si="202"/>
        <v>9.769962616701378E-15</v>
      </c>
      <c r="FP101" s="43">
        <f t="shared" si="202"/>
        <v>9.769962616701378E-15</v>
      </c>
      <c r="FQ101" s="43">
        <f t="shared" si="202"/>
        <v>9.769962616701378E-15</v>
      </c>
      <c r="FR101" s="43">
        <f t="shared" si="202"/>
        <v>9.769962616701378E-15</v>
      </c>
      <c r="FS101" s="43">
        <f t="shared" si="202"/>
        <v>9.769962616701378E-15</v>
      </c>
      <c r="FT101" s="43">
        <f t="shared" si="202"/>
        <v>9.769962616701378E-15</v>
      </c>
      <c r="FU101" s="43">
        <f t="shared" si="202"/>
        <v>9.769962616701378E-15</v>
      </c>
      <c r="FV101" s="43">
        <f t="shared" si="202"/>
        <v>9.769962616701378E-15</v>
      </c>
      <c r="FW101" s="43">
        <f t="shared" si="202"/>
        <v>9.769962616701378E-15</v>
      </c>
      <c r="FX101" s="43">
        <f t="shared" si="202"/>
        <v>9.769962616701378E-15</v>
      </c>
      <c r="FY101" s="43">
        <f t="shared" si="202"/>
        <v>9.769962616701378E-15</v>
      </c>
      <c r="FZ101" s="43">
        <f t="shared" si="202"/>
        <v>9.769962616701378E-15</v>
      </c>
      <c r="GA101" s="43">
        <f t="shared" si="202"/>
        <v>9.769962616701378E-15</v>
      </c>
      <c r="GB101" s="43">
        <f t="shared" si="202"/>
        <v>9.769962616701378E-15</v>
      </c>
      <c r="GC101" s="43">
        <f t="shared" si="202"/>
        <v>9.769962616701378E-15</v>
      </c>
      <c r="GD101" s="43">
        <f t="shared" si="202"/>
        <v>9.769962616701378E-15</v>
      </c>
      <c r="GE101" s="43">
        <f t="shared" si="202"/>
        <v>9.769962616701378E-15</v>
      </c>
      <c r="GF101" s="43">
        <f t="shared" si="202"/>
        <v>9.769962616701378E-15</v>
      </c>
      <c r="GG101" s="43">
        <f t="shared" si="202"/>
        <v>9.769962616701378E-15</v>
      </c>
      <c r="GH101" s="43">
        <f t="shared" si="202"/>
        <v>9.769962616701378E-15</v>
      </c>
      <c r="GI101" s="43">
        <f t="shared" si="202"/>
        <v>9.769962616701378E-15</v>
      </c>
      <c r="GJ101" s="43">
        <f t="shared" si="202"/>
        <v>9.769962616701378E-15</v>
      </c>
      <c r="GK101" s="43">
        <f t="shared" si="202"/>
        <v>9.769962616701378E-15</v>
      </c>
      <c r="GL101" s="43">
        <f t="shared" si="202"/>
        <v>9.769962616701378E-15</v>
      </c>
      <c r="GM101" s="43">
        <f t="shared" si="202"/>
        <v>9.769962616701378E-15</v>
      </c>
      <c r="GN101" s="43">
        <f t="shared" si="202"/>
        <v>9.769962616701378E-15</v>
      </c>
      <c r="GO101" s="43">
        <f t="shared" si="202"/>
        <v>9.769962616701378E-15</v>
      </c>
    </row>
    <row r="102" spans="1:256" s="9" customFormat="1" ht="15">
      <c r="A102" s="4" t="s">
        <v>255</v>
      </c>
      <c r="B102" s="4"/>
      <c r="C102" s="12" t="s">
        <v>216</v>
      </c>
      <c r="J102" s="30">
        <v>0.1</v>
      </c>
      <c r="O102" s="29"/>
      <c r="Q102" s="30">
        <v>10</v>
      </c>
      <c r="X102" s="29"/>
      <c r="AB102" s="30">
        <v>10</v>
      </c>
      <c r="AE102" s="30">
        <f>1.5+4+4.1</f>
        <v>9.6</v>
      </c>
      <c r="AI102" s="19">
        <v>10</v>
      </c>
      <c r="AP102" s="30">
        <v>10</v>
      </c>
      <c r="BA102" s="19">
        <v>10</v>
      </c>
      <c r="BT102" s="31"/>
      <c r="BU102" s="31"/>
      <c r="BV102" s="31"/>
      <c r="CP102" s="57"/>
      <c r="DP102" s="29"/>
      <c r="DQ102" s="29"/>
      <c r="DR102" s="29"/>
      <c r="DS102" s="29"/>
      <c r="DT102" s="29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197" s="42" customFormat="1" ht="15">
      <c r="A103" s="35"/>
      <c r="B103" s="35"/>
      <c r="C103" s="24" t="s">
        <v>217</v>
      </c>
      <c r="D103" s="25">
        <v>45.7</v>
      </c>
      <c r="E103" s="25">
        <f>D104</f>
        <v>45.7</v>
      </c>
      <c r="F103" s="25">
        <f aca="true" t="shared" si="203" ref="F103:BQ103">E104</f>
        <v>45.7</v>
      </c>
      <c r="G103" s="25">
        <f t="shared" si="203"/>
        <v>45.7</v>
      </c>
      <c r="H103" s="25">
        <f t="shared" si="203"/>
        <v>45.7</v>
      </c>
      <c r="I103" s="25">
        <f t="shared" si="203"/>
        <v>45.7</v>
      </c>
      <c r="J103" s="25">
        <f t="shared" si="203"/>
        <v>45.7</v>
      </c>
      <c r="K103" s="25">
        <f t="shared" si="203"/>
        <v>45.6</v>
      </c>
      <c r="L103" s="25">
        <f t="shared" si="203"/>
        <v>45.6</v>
      </c>
      <c r="M103" s="25">
        <f t="shared" si="203"/>
        <v>45.6</v>
      </c>
      <c r="N103" s="25">
        <f t="shared" si="203"/>
        <v>45.6</v>
      </c>
      <c r="O103" s="37">
        <f t="shared" si="203"/>
        <v>45.6</v>
      </c>
      <c r="P103" s="25">
        <f t="shared" si="203"/>
        <v>45.6</v>
      </c>
      <c r="Q103" s="25">
        <f t="shared" si="203"/>
        <v>45.6</v>
      </c>
      <c r="R103" s="25">
        <f t="shared" si="203"/>
        <v>35.6</v>
      </c>
      <c r="S103" s="25">
        <f t="shared" si="203"/>
        <v>35.6</v>
      </c>
      <c r="T103" s="25">
        <f t="shared" si="203"/>
        <v>35.6</v>
      </c>
      <c r="U103" s="25">
        <f t="shared" si="203"/>
        <v>35.6</v>
      </c>
      <c r="V103" s="25">
        <f t="shared" si="203"/>
        <v>35.6</v>
      </c>
      <c r="W103" s="25">
        <f t="shared" si="203"/>
        <v>35.6</v>
      </c>
      <c r="X103" s="37">
        <f t="shared" si="203"/>
        <v>35.6</v>
      </c>
      <c r="Y103" s="25">
        <f t="shared" si="203"/>
        <v>35.6</v>
      </c>
      <c r="Z103" s="25">
        <f t="shared" si="203"/>
        <v>35.6</v>
      </c>
      <c r="AA103" s="25">
        <f>Z104+1.9+0.7+0.6+0.3+1.4</f>
        <v>40.5</v>
      </c>
      <c r="AB103" s="25">
        <f t="shared" si="203"/>
        <v>40.5</v>
      </c>
      <c r="AC103" s="25">
        <f t="shared" si="203"/>
        <v>30.5</v>
      </c>
      <c r="AD103" s="25">
        <f t="shared" si="203"/>
        <v>30.5</v>
      </c>
      <c r="AE103" s="25">
        <f t="shared" si="203"/>
        <v>30.5</v>
      </c>
      <c r="AF103" s="25">
        <f t="shared" si="203"/>
        <v>20.9</v>
      </c>
      <c r="AG103" s="25">
        <f t="shared" si="203"/>
        <v>20.9</v>
      </c>
      <c r="AH103" s="25">
        <f t="shared" si="203"/>
        <v>20.9</v>
      </c>
      <c r="AI103" s="25">
        <f t="shared" si="203"/>
        <v>20.9</v>
      </c>
      <c r="AJ103" s="25">
        <f t="shared" si="203"/>
        <v>10.899999999999999</v>
      </c>
      <c r="AK103" s="25">
        <f t="shared" si="203"/>
        <v>10.899999999999999</v>
      </c>
      <c r="AL103" s="25">
        <f t="shared" si="203"/>
        <v>10.899999999999999</v>
      </c>
      <c r="AM103" s="25">
        <f t="shared" si="203"/>
        <v>10.899999999999999</v>
      </c>
      <c r="AN103" s="25">
        <f t="shared" si="203"/>
        <v>10.899999999999999</v>
      </c>
      <c r="AO103" s="25">
        <f t="shared" si="203"/>
        <v>10.899999999999999</v>
      </c>
      <c r="AP103" s="25">
        <f t="shared" si="203"/>
        <v>10.899999999999999</v>
      </c>
      <c r="AQ103" s="25">
        <f t="shared" si="203"/>
        <v>0.8999999999999986</v>
      </c>
      <c r="AR103" s="25">
        <f t="shared" si="203"/>
        <v>0.8999999999999986</v>
      </c>
      <c r="AS103" s="25">
        <f t="shared" si="203"/>
        <v>0.8999999999999986</v>
      </c>
      <c r="AT103" s="25">
        <f t="shared" si="203"/>
        <v>0.8999999999999986</v>
      </c>
      <c r="AU103" s="25">
        <f t="shared" si="203"/>
        <v>0.8999999999999986</v>
      </c>
      <c r="AV103" s="25">
        <f t="shared" si="203"/>
        <v>0.8999999999999986</v>
      </c>
      <c r="AW103" s="25">
        <f t="shared" si="203"/>
        <v>0.8999999999999986</v>
      </c>
      <c r="AX103" s="25">
        <f t="shared" si="203"/>
        <v>0.8999999999999986</v>
      </c>
      <c r="AY103" s="25">
        <f t="shared" si="203"/>
        <v>0.8999999999999986</v>
      </c>
      <c r="AZ103" s="25">
        <f t="shared" si="203"/>
        <v>0.8999999999999986</v>
      </c>
      <c r="BA103" s="25">
        <f t="shared" si="203"/>
        <v>0.8999999999999986</v>
      </c>
      <c r="BB103" s="25">
        <f>BA104+1.9+0.7+0.6+0.4+1.4</f>
        <v>-4.100000000000001</v>
      </c>
      <c r="BC103" s="25">
        <f t="shared" si="203"/>
        <v>-4.100000000000001</v>
      </c>
      <c r="BD103" s="25">
        <f t="shared" si="203"/>
        <v>-4.100000000000001</v>
      </c>
      <c r="BE103" s="25">
        <f t="shared" si="203"/>
        <v>-4.100000000000001</v>
      </c>
      <c r="BF103" s="25">
        <f t="shared" si="203"/>
        <v>-4.100000000000001</v>
      </c>
      <c r="BG103" s="25">
        <f t="shared" si="203"/>
        <v>-4.100000000000001</v>
      </c>
      <c r="BH103" s="25">
        <f t="shared" si="203"/>
        <v>-4.100000000000001</v>
      </c>
      <c r="BI103" s="25">
        <f t="shared" si="203"/>
        <v>-4.100000000000001</v>
      </c>
      <c r="BJ103" s="25">
        <f>BI104+4.1</f>
        <v>0</v>
      </c>
      <c r="BK103" s="25">
        <f t="shared" si="203"/>
        <v>0</v>
      </c>
      <c r="BL103" s="25">
        <f t="shared" si="203"/>
        <v>0</v>
      </c>
      <c r="BM103" s="25">
        <f t="shared" si="203"/>
        <v>0</v>
      </c>
      <c r="BN103" s="25">
        <f t="shared" si="203"/>
        <v>0</v>
      </c>
      <c r="BO103" s="25">
        <f t="shared" si="203"/>
        <v>0</v>
      </c>
      <c r="BP103" s="25">
        <f t="shared" si="203"/>
        <v>0</v>
      </c>
      <c r="BQ103" s="25">
        <f t="shared" si="203"/>
        <v>0</v>
      </c>
      <c r="BR103" s="25">
        <f aca="true" t="shared" si="204" ref="BR103:EC103">BQ104</f>
        <v>0</v>
      </c>
      <c r="BS103" s="25">
        <f t="shared" si="204"/>
        <v>0</v>
      </c>
      <c r="BT103" s="40">
        <f t="shared" si="204"/>
        <v>0</v>
      </c>
      <c r="BU103" s="40">
        <f t="shared" si="204"/>
        <v>0</v>
      </c>
      <c r="BV103" s="40">
        <f t="shared" si="204"/>
        <v>0</v>
      </c>
      <c r="BW103" s="25">
        <f t="shared" si="204"/>
        <v>0</v>
      </c>
      <c r="BX103" s="25">
        <f t="shared" si="204"/>
        <v>0</v>
      </c>
      <c r="BY103" s="25">
        <f t="shared" si="204"/>
        <v>0</v>
      </c>
      <c r="BZ103" s="25">
        <f t="shared" si="204"/>
        <v>0</v>
      </c>
      <c r="CA103" s="25">
        <f>BZ104+1.9+0.7+0.02+1.4</f>
        <v>4.02</v>
      </c>
      <c r="CB103" s="25">
        <f t="shared" si="204"/>
        <v>4.02</v>
      </c>
      <c r="CC103" s="25">
        <f t="shared" si="204"/>
        <v>4.02</v>
      </c>
      <c r="CD103" s="25">
        <f t="shared" si="204"/>
        <v>4.02</v>
      </c>
      <c r="CE103" s="25">
        <f t="shared" si="204"/>
        <v>4.02</v>
      </c>
      <c r="CF103" s="25">
        <f t="shared" si="204"/>
        <v>4.02</v>
      </c>
      <c r="CG103" s="25">
        <f t="shared" si="204"/>
        <v>4.02</v>
      </c>
      <c r="CH103" s="25">
        <f t="shared" si="204"/>
        <v>4.02</v>
      </c>
      <c r="CI103" s="25">
        <f t="shared" si="204"/>
        <v>4.02</v>
      </c>
      <c r="CJ103" s="25">
        <f t="shared" si="204"/>
        <v>4.02</v>
      </c>
      <c r="CK103" s="25">
        <f t="shared" si="204"/>
        <v>4.02</v>
      </c>
      <c r="CL103" s="25">
        <f t="shared" si="204"/>
        <v>4.02</v>
      </c>
      <c r="CM103" s="25">
        <f t="shared" si="204"/>
        <v>4.02</v>
      </c>
      <c r="CN103" s="25">
        <f t="shared" si="204"/>
        <v>4.02</v>
      </c>
      <c r="CO103" s="25">
        <f t="shared" si="204"/>
        <v>4.02</v>
      </c>
      <c r="CP103" s="25">
        <f t="shared" si="204"/>
        <v>4.02</v>
      </c>
      <c r="CQ103" s="25">
        <f t="shared" si="204"/>
        <v>4.02</v>
      </c>
      <c r="CR103" s="25">
        <f t="shared" si="204"/>
        <v>4.02</v>
      </c>
      <c r="CS103" s="25">
        <f t="shared" si="204"/>
        <v>4.02</v>
      </c>
      <c r="CT103" s="25">
        <f t="shared" si="204"/>
        <v>4.02</v>
      </c>
      <c r="CU103" s="25">
        <f t="shared" si="204"/>
        <v>4.02</v>
      </c>
      <c r="CV103" s="25">
        <f t="shared" si="204"/>
        <v>4.02</v>
      </c>
      <c r="CW103" s="25">
        <f>CV104+1.4</f>
        <v>5.42</v>
      </c>
      <c r="CX103" s="25">
        <f t="shared" si="204"/>
        <v>5.42</v>
      </c>
      <c r="CY103" s="25">
        <f t="shared" si="204"/>
        <v>5.42</v>
      </c>
      <c r="CZ103" s="25">
        <f t="shared" si="204"/>
        <v>5.42</v>
      </c>
      <c r="DA103" s="25">
        <f t="shared" si="204"/>
        <v>5.42</v>
      </c>
      <c r="DB103" s="25">
        <f t="shared" si="204"/>
        <v>5.42</v>
      </c>
      <c r="DC103" s="25">
        <f t="shared" si="204"/>
        <v>5.42</v>
      </c>
      <c r="DD103" s="25">
        <f t="shared" si="204"/>
        <v>5.42</v>
      </c>
      <c r="DE103" s="25">
        <f t="shared" si="204"/>
        <v>5.42</v>
      </c>
      <c r="DF103" s="25">
        <f t="shared" si="204"/>
        <v>5.42</v>
      </c>
      <c r="DG103" s="25">
        <f t="shared" si="204"/>
        <v>5.42</v>
      </c>
      <c r="DH103" s="25">
        <f t="shared" si="204"/>
        <v>5.42</v>
      </c>
      <c r="DI103" s="25">
        <f t="shared" si="204"/>
        <v>5.42</v>
      </c>
      <c r="DJ103" s="25">
        <f>DI104+0.02+1.9+0.7</f>
        <v>8.04</v>
      </c>
      <c r="DK103" s="25">
        <f t="shared" si="204"/>
        <v>8.04</v>
      </c>
      <c r="DL103" s="25">
        <f t="shared" si="204"/>
        <v>8.04</v>
      </c>
      <c r="DM103" s="25">
        <f t="shared" si="204"/>
        <v>8.04</v>
      </c>
      <c r="DN103" s="25">
        <f t="shared" si="204"/>
        <v>8.04</v>
      </c>
      <c r="DO103" s="25">
        <f t="shared" si="204"/>
        <v>8.04</v>
      </c>
      <c r="DP103" s="37">
        <f>DO104+1.4+0.7+1.9+0.02</f>
        <v>12.059999999999999</v>
      </c>
      <c r="DQ103" s="37">
        <f t="shared" si="204"/>
        <v>12.059999999999999</v>
      </c>
      <c r="DR103" s="37">
        <f t="shared" si="204"/>
        <v>12.059999999999999</v>
      </c>
      <c r="DS103" s="37">
        <f t="shared" si="204"/>
        <v>12.059999999999999</v>
      </c>
      <c r="DT103" s="37">
        <f t="shared" si="204"/>
        <v>12.059999999999999</v>
      </c>
      <c r="DU103" s="25">
        <f t="shared" si="204"/>
        <v>12.059999999999999</v>
      </c>
      <c r="DV103" s="25">
        <f t="shared" si="204"/>
        <v>12.059999999999999</v>
      </c>
      <c r="DW103" s="25">
        <f t="shared" si="204"/>
        <v>12.059999999999999</v>
      </c>
      <c r="DX103" s="25">
        <f t="shared" si="204"/>
        <v>12.059999999999999</v>
      </c>
      <c r="DY103" s="25">
        <f t="shared" si="204"/>
        <v>12.059999999999999</v>
      </c>
      <c r="DZ103" s="25">
        <f t="shared" si="204"/>
        <v>12.059999999999999</v>
      </c>
      <c r="EA103" s="25">
        <f t="shared" si="204"/>
        <v>12.059999999999999</v>
      </c>
      <c r="EB103" s="25">
        <f t="shared" si="204"/>
        <v>12.059999999999999</v>
      </c>
      <c r="EC103" s="25">
        <f t="shared" si="204"/>
        <v>12.059999999999999</v>
      </c>
      <c r="ED103" s="25">
        <f aca="true" t="shared" si="205" ref="ED103:GO103">EC104</f>
        <v>12.059999999999999</v>
      </c>
      <c r="EE103" s="25">
        <f t="shared" si="205"/>
        <v>12.059999999999999</v>
      </c>
      <c r="EF103" s="25">
        <f t="shared" si="205"/>
        <v>12.059999999999999</v>
      </c>
      <c r="EG103" s="25">
        <f t="shared" si="205"/>
        <v>12.059999999999999</v>
      </c>
      <c r="EH103" s="25">
        <f t="shared" si="205"/>
        <v>12.059999999999999</v>
      </c>
      <c r="EI103" s="25">
        <f t="shared" si="205"/>
        <v>12.059999999999999</v>
      </c>
      <c r="EJ103" s="25">
        <f t="shared" si="205"/>
        <v>12.059999999999999</v>
      </c>
      <c r="EK103" s="25">
        <f t="shared" si="205"/>
        <v>12.059999999999999</v>
      </c>
      <c r="EL103" s="25">
        <f t="shared" si="205"/>
        <v>12.059999999999999</v>
      </c>
      <c r="EM103" s="25">
        <f t="shared" si="205"/>
        <v>12.059999999999999</v>
      </c>
      <c r="EN103" s="25">
        <f>EM104+4.1</f>
        <v>16.159999999999997</v>
      </c>
      <c r="EO103" s="25">
        <f t="shared" si="205"/>
        <v>16.159999999999997</v>
      </c>
      <c r="EP103" s="25">
        <f t="shared" si="205"/>
        <v>16.159999999999997</v>
      </c>
      <c r="EQ103" s="25">
        <f t="shared" si="205"/>
        <v>16.159999999999997</v>
      </c>
      <c r="ER103" s="25">
        <f>EQ104</f>
        <v>16.159999999999997</v>
      </c>
      <c r="ES103" s="25">
        <f>ER104</f>
        <v>16.159999999999997</v>
      </c>
      <c r="ET103" s="25">
        <f>ES104</f>
        <v>16.159999999999997</v>
      </c>
      <c r="EU103" s="25">
        <f t="shared" si="205"/>
        <v>16.159999999999997</v>
      </c>
      <c r="EV103" s="25">
        <f t="shared" si="205"/>
        <v>16.159999999999997</v>
      </c>
      <c r="EW103" s="25">
        <f>EV104+1.1+0.6+1.6+0.02</f>
        <v>19.48</v>
      </c>
      <c r="EX103" s="25">
        <f t="shared" si="205"/>
        <v>19.48</v>
      </c>
      <c r="EY103" s="25">
        <f t="shared" si="205"/>
        <v>19.48</v>
      </c>
      <c r="EZ103" s="25">
        <f t="shared" si="205"/>
        <v>19.48</v>
      </c>
      <c r="FA103" s="25">
        <f t="shared" si="205"/>
        <v>19.48</v>
      </c>
      <c r="FB103" s="25">
        <f t="shared" si="205"/>
        <v>19.48</v>
      </c>
      <c r="FC103" s="25">
        <f t="shared" si="205"/>
        <v>19.48</v>
      </c>
      <c r="FD103" s="25">
        <f t="shared" si="205"/>
        <v>19.48</v>
      </c>
      <c r="FE103" s="25">
        <f t="shared" si="205"/>
        <v>19.48</v>
      </c>
      <c r="FF103" s="25">
        <f t="shared" si="205"/>
        <v>19.48</v>
      </c>
      <c r="FG103" s="25">
        <f t="shared" si="205"/>
        <v>19.48</v>
      </c>
      <c r="FH103" s="25">
        <f t="shared" si="205"/>
        <v>19.48</v>
      </c>
      <c r="FI103" s="25">
        <f t="shared" si="205"/>
        <v>19.48</v>
      </c>
      <c r="FJ103" s="25">
        <f t="shared" si="205"/>
        <v>19.48</v>
      </c>
      <c r="FK103" s="25">
        <f t="shared" si="205"/>
        <v>19.48</v>
      </c>
      <c r="FL103" s="25">
        <f t="shared" si="205"/>
        <v>19.48</v>
      </c>
      <c r="FM103" s="25">
        <f t="shared" si="205"/>
        <v>19.48</v>
      </c>
      <c r="FN103" s="25">
        <f t="shared" si="205"/>
        <v>19.48</v>
      </c>
      <c r="FO103" s="25">
        <f t="shared" si="205"/>
        <v>19.48</v>
      </c>
      <c r="FP103" s="25">
        <f t="shared" si="205"/>
        <v>19.48</v>
      </c>
      <c r="FQ103" s="25">
        <f t="shared" si="205"/>
        <v>19.48</v>
      </c>
      <c r="FR103" s="25">
        <f t="shared" si="205"/>
        <v>19.48</v>
      </c>
      <c r="FS103" s="25">
        <f t="shared" si="205"/>
        <v>19.48</v>
      </c>
      <c r="FT103" s="25">
        <f t="shared" si="205"/>
        <v>19.48</v>
      </c>
      <c r="FU103" s="25">
        <f t="shared" si="205"/>
        <v>19.48</v>
      </c>
      <c r="FV103" s="25">
        <f t="shared" si="205"/>
        <v>19.48</v>
      </c>
      <c r="FW103" s="25">
        <f t="shared" si="205"/>
        <v>19.48</v>
      </c>
      <c r="FX103" s="25">
        <f>FW104+1.4+0.3+0.6+0.7+1.9+0.02</f>
        <v>24.4</v>
      </c>
      <c r="FY103" s="25">
        <f t="shared" si="205"/>
        <v>24.4</v>
      </c>
      <c r="FZ103" s="25">
        <f t="shared" si="205"/>
        <v>24.4</v>
      </c>
      <c r="GA103" s="25">
        <f t="shared" si="205"/>
        <v>24.4</v>
      </c>
      <c r="GB103" s="25">
        <f t="shared" si="205"/>
        <v>24.4</v>
      </c>
      <c r="GC103" s="25">
        <f t="shared" si="205"/>
        <v>24.4</v>
      </c>
      <c r="GD103" s="25">
        <f t="shared" si="205"/>
        <v>24.4</v>
      </c>
      <c r="GE103" s="25">
        <f t="shared" si="205"/>
        <v>24.4</v>
      </c>
      <c r="GF103" s="25">
        <f t="shared" si="205"/>
        <v>24.4</v>
      </c>
      <c r="GG103" s="25">
        <f t="shared" si="205"/>
        <v>24.4</v>
      </c>
      <c r="GH103" s="25">
        <f t="shared" si="205"/>
        <v>24.4</v>
      </c>
      <c r="GI103" s="25">
        <f t="shared" si="205"/>
        <v>24.4</v>
      </c>
      <c r="GJ103" s="25">
        <f t="shared" si="205"/>
        <v>24.4</v>
      </c>
      <c r="GK103" s="25">
        <f t="shared" si="205"/>
        <v>24.4</v>
      </c>
      <c r="GL103" s="25">
        <f t="shared" si="205"/>
        <v>24.4</v>
      </c>
      <c r="GM103" s="25">
        <f t="shared" si="205"/>
        <v>24.4</v>
      </c>
      <c r="GN103" s="25">
        <f t="shared" si="205"/>
        <v>24.4</v>
      </c>
      <c r="GO103" s="25">
        <f t="shared" si="205"/>
        <v>24.4</v>
      </c>
    </row>
    <row r="104" spans="1:197" s="42" customFormat="1" ht="15">
      <c r="A104" s="35"/>
      <c r="B104" s="35"/>
      <c r="C104" s="24" t="s">
        <v>218</v>
      </c>
      <c r="D104" s="43">
        <f>D103-D102</f>
        <v>45.7</v>
      </c>
      <c r="E104" s="43">
        <f>E103-E102</f>
        <v>45.7</v>
      </c>
      <c r="F104" s="43">
        <f aca="true" t="shared" si="206" ref="F104:BQ104">F103-F102</f>
        <v>45.7</v>
      </c>
      <c r="G104" s="43">
        <f t="shared" si="206"/>
        <v>45.7</v>
      </c>
      <c r="H104" s="43">
        <f t="shared" si="206"/>
        <v>45.7</v>
      </c>
      <c r="I104" s="43">
        <f t="shared" si="206"/>
        <v>45.7</v>
      </c>
      <c r="J104" s="43">
        <f t="shared" si="206"/>
        <v>45.6</v>
      </c>
      <c r="K104" s="43">
        <f t="shared" si="206"/>
        <v>45.6</v>
      </c>
      <c r="L104" s="43">
        <f t="shared" si="206"/>
        <v>45.6</v>
      </c>
      <c r="M104" s="43">
        <f t="shared" si="206"/>
        <v>45.6</v>
      </c>
      <c r="N104" s="43">
        <f t="shared" si="206"/>
        <v>45.6</v>
      </c>
      <c r="O104" s="44">
        <f t="shared" si="206"/>
        <v>45.6</v>
      </c>
      <c r="P104" s="43">
        <f t="shared" si="206"/>
        <v>45.6</v>
      </c>
      <c r="Q104" s="43">
        <f t="shared" si="206"/>
        <v>35.6</v>
      </c>
      <c r="R104" s="43">
        <f t="shared" si="206"/>
        <v>35.6</v>
      </c>
      <c r="S104" s="43">
        <f t="shared" si="206"/>
        <v>35.6</v>
      </c>
      <c r="T104" s="43">
        <f t="shared" si="206"/>
        <v>35.6</v>
      </c>
      <c r="U104" s="43">
        <f t="shared" si="206"/>
        <v>35.6</v>
      </c>
      <c r="V104" s="43">
        <f t="shared" si="206"/>
        <v>35.6</v>
      </c>
      <c r="W104" s="43">
        <f t="shared" si="206"/>
        <v>35.6</v>
      </c>
      <c r="X104" s="44">
        <f t="shared" si="206"/>
        <v>35.6</v>
      </c>
      <c r="Y104" s="43">
        <f t="shared" si="206"/>
        <v>35.6</v>
      </c>
      <c r="Z104" s="43">
        <f t="shared" si="206"/>
        <v>35.6</v>
      </c>
      <c r="AA104" s="43">
        <f t="shared" si="206"/>
        <v>40.5</v>
      </c>
      <c r="AB104" s="43">
        <f t="shared" si="206"/>
        <v>30.5</v>
      </c>
      <c r="AC104" s="43">
        <f t="shared" si="206"/>
        <v>30.5</v>
      </c>
      <c r="AD104" s="43">
        <f t="shared" si="206"/>
        <v>30.5</v>
      </c>
      <c r="AE104" s="43">
        <f t="shared" si="206"/>
        <v>20.9</v>
      </c>
      <c r="AF104" s="43">
        <f t="shared" si="206"/>
        <v>20.9</v>
      </c>
      <c r="AG104" s="43">
        <f t="shared" si="206"/>
        <v>20.9</v>
      </c>
      <c r="AH104" s="43">
        <f t="shared" si="206"/>
        <v>20.9</v>
      </c>
      <c r="AI104" s="43">
        <f t="shared" si="206"/>
        <v>10.899999999999999</v>
      </c>
      <c r="AJ104" s="43">
        <f t="shared" si="206"/>
        <v>10.899999999999999</v>
      </c>
      <c r="AK104" s="43">
        <f t="shared" si="206"/>
        <v>10.899999999999999</v>
      </c>
      <c r="AL104" s="43">
        <f t="shared" si="206"/>
        <v>10.899999999999999</v>
      </c>
      <c r="AM104" s="43">
        <f t="shared" si="206"/>
        <v>10.899999999999999</v>
      </c>
      <c r="AN104" s="43">
        <f t="shared" si="206"/>
        <v>10.899999999999999</v>
      </c>
      <c r="AO104" s="43">
        <f t="shared" si="206"/>
        <v>10.899999999999999</v>
      </c>
      <c r="AP104" s="43">
        <f t="shared" si="206"/>
        <v>0.8999999999999986</v>
      </c>
      <c r="AQ104" s="43">
        <f t="shared" si="206"/>
        <v>0.8999999999999986</v>
      </c>
      <c r="AR104" s="43">
        <f t="shared" si="206"/>
        <v>0.8999999999999986</v>
      </c>
      <c r="AS104" s="43">
        <f t="shared" si="206"/>
        <v>0.8999999999999986</v>
      </c>
      <c r="AT104" s="43">
        <f t="shared" si="206"/>
        <v>0.8999999999999986</v>
      </c>
      <c r="AU104" s="43">
        <f t="shared" si="206"/>
        <v>0.8999999999999986</v>
      </c>
      <c r="AV104" s="43">
        <f t="shared" si="206"/>
        <v>0.8999999999999986</v>
      </c>
      <c r="AW104" s="43">
        <f t="shared" si="206"/>
        <v>0.8999999999999986</v>
      </c>
      <c r="AX104" s="43">
        <f t="shared" si="206"/>
        <v>0.8999999999999986</v>
      </c>
      <c r="AY104" s="43">
        <f t="shared" si="206"/>
        <v>0.8999999999999986</v>
      </c>
      <c r="AZ104" s="43">
        <f t="shared" si="206"/>
        <v>0.8999999999999986</v>
      </c>
      <c r="BA104" s="43">
        <f t="shared" si="206"/>
        <v>-9.100000000000001</v>
      </c>
      <c r="BB104" s="43">
        <f t="shared" si="206"/>
        <v>-4.100000000000001</v>
      </c>
      <c r="BC104" s="43">
        <f t="shared" si="206"/>
        <v>-4.100000000000001</v>
      </c>
      <c r="BD104" s="43">
        <f t="shared" si="206"/>
        <v>-4.100000000000001</v>
      </c>
      <c r="BE104" s="43">
        <f t="shared" si="206"/>
        <v>-4.100000000000001</v>
      </c>
      <c r="BF104" s="43">
        <f t="shared" si="206"/>
        <v>-4.100000000000001</v>
      </c>
      <c r="BG104" s="43">
        <f t="shared" si="206"/>
        <v>-4.100000000000001</v>
      </c>
      <c r="BH104" s="43">
        <f t="shared" si="206"/>
        <v>-4.100000000000001</v>
      </c>
      <c r="BI104" s="43">
        <f t="shared" si="206"/>
        <v>-4.100000000000001</v>
      </c>
      <c r="BJ104" s="43">
        <f t="shared" si="206"/>
        <v>0</v>
      </c>
      <c r="BK104" s="43">
        <f t="shared" si="206"/>
        <v>0</v>
      </c>
      <c r="BL104" s="43">
        <f t="shared" si="206"/>
        <v>0</v>
      </c>
      <c r="BM104" s="43">
        <f t="shared" si="206"/>
        <v>0</v>
      </c>
      <c r="BN104" s="43">
        <f t="shared" si="206"/>
        <v>0</v>
      </c>
      <c r="BO104" s="43">
        <f t="shared" si="206"/>
        <v>0</v>
      </c>
      <c r="BP104" s="43">
        <f t="shared" si="206"/>
        <v>0</v>
      </c>
      <c r="BQ104" s="43">
        <f t="shared" si="206"/>
        <v>0</v>
      </c>
      <c r="BR104" s="43">
        <f aca="true" t="shared" si="207" ref="BR104:EC104">BR103-BR102</f>
        <v>0</v>
      </c>
      <c r="BS104" s="43">
        <f t="shared" si="207"/>
        <v>0</v>
      </c>
      <c r="BT104" s="45">
        <f t="shared" si="207"/>
        <v>0</v>
      </c>
      <c r="BU104" s="45">
        <f t="shared" si="207"/>
        <v>0</v>
      </c>
      <c r="BV104" s="45">
        <f t="shared" si="207"/>
        <v>0</v>
      </c>
      <c r="BW104" s="43">
        <f t="shared" si="207"/>
        <v>0</v>
      </c>
      <c r="BX104" s="43">
        <f t="shared" si="207"/>
        <v>0</v>
      </c>
      <c r="BY104" s="43">
        <f t="shared" si="207"/>
        <v>0</v>
      </c>
      <c r="BZ104" s="43">
        <f t="shared" si="207"/>
        <v>0</v>
      </c>
      <c r="CA104" s="43">
        <f t="shared" si="207"/>
        <v>4.02</v>
      </c>
      <c r="CB104" s="43">
        <f t="shared" si="207"/>
        <v>4.02</v>
      </c>
      <c r="CC104" s="43">
        <f t="shared" si="207"/>
        <v>4.02</v>
      </c>
      <c r="CD104" s="43">
        <f t="shared" si="207"/>
        <v>4.02</v>
      </c>
      <c r="CE104" s="43">
        <f t="shared" si="207"/>
        <v>4.02</v>
      </c>
      <c r="CF104" s="43">
        <f t="shared" si="207"/>
        <v>4.02</v>
      </c>
      <c r="CG104" s="43">
        <f t="shared" si="207"/>
        <v>4.02</v>
      </c>
      <c r="CH104" s="43">
        <f t="shared" si="207"/>
        <v>4.02</v>
      </c>
      <c r="CI104" s="43">
        <f t="shared" si="207"/>
        <v>4.02</v>
      </c>
      <c r="CJ104" s="43">
        <f t="shared" si="207"/>
        <v>4.02</v>
      </c>
      <c r="CK104" s="43">
        <f t="shared" si="207"/>
        <v>4.02</v>
      </c>
      <c r="CL104" s="43">
        <f t="shared" si="207"/>
        <v>4.02</v>
      </c>
      <c r="CM104" s="43">
        <f t="shared" si="207"/>
        <v>4.02</v>
      </c>
      <c r="CN104" s="43">
        <f t="shared" si="207"/>
        <v>4.02</v>
      </c>
      <c r="CO104" s="43">
        <f t="shared" si="207"/>
        <v>4.02</v>
      </c>
      <c r="CP104" s="43">
        <f t="shared" si="207"/>
        <v>4.02</v>
      </c>
      <c r="CQ104" s="43">
        <f t="shared" si="207"/>
        <v>4.02</v>
      </c>
      <c r="CR104" s="43">
        <f t="shared" si="207"/>
        <v>4.02</v>
      </c>
      <c r="CS104" s="43">
        <f t="shared" si="207"/>
        <v>4.02</v>
      </c>
      <c r="CT104" s="43">
        <f t="shared" si="207"/>
        <v>4.02</v>
      </c>
      <c r="CU104" s="43">
        <f t="shared" si="207"/>
        <v>4.02</v>
      </c>
      <c r="CV104" s="43">
        <f t="shared" si="207"/>
        <v>4.02</v>
      </c>
      <c r="CW104" s="43">
        <f t="shared" si="207"/>
        <v>5.42</v>
      </c>
      <c r="CX104" s="43">
        <f t="shared" si="207"/>
        <v>5.42</v>
      </c>
      <c r="CY104" s="43">
        <f t="shared" si="207"/>
        <v>5.42</v>
      </c>
      <c r="CZ104" s="43">
        <f t="shared" si="207"/>
        <v>5.42</v>
      </c>
      <c r="DA104" s="43">
        <f t="shared" si="207"/>
        <v>5.42</v>
      </c>
      <c r="DB104" s="43">
        <f t="shared" si="207"/>
        <v>5.42</v>
      </c>
      <c r="DC104" s="43">
        <f t="shared" si="207"/>
        <v>5.42</v>
      </c>
      <c r="DD104" s="43">
        <f t="shared" si="207"/>
        <v>5.42</v>
      </c>
      <c r="DE104" s="43">
        <f t="shared" si="207"/>
        <v>5.42</v>
      </c>
      <c r="DF104" s="43">
        <f t="shared" si="207"/>
        <v>5.42</v>
      </c>
      <c r="DG104" s="43">
        <f t="shared" si="207"/>
        <v>5.42</v>
      </c>
      <c r="DH104" s="43">
        <f t="shared" si="207"/>
        <v>5.42</v>
      </c>
      <c r="DI104" s="43">
        <f t="shared" si="207"/>
        <v>5.42</v>
      </c>
      <c r="DJ104" s="43">
        <f t="shared" si="207"/>
        <v>8.04</v>
      </c>
      <c r="DK104" s="43">
        <f t="shared" si="207"/>
        <v>8.04</v>
      </c>
      <c r="DL104" s="43">
        <f t="shared" si="207"/>
        <v>8.04</v>
      </c>
      <c r="DM104" s="43">
        <f t="shared" si="207"/>
        <v>8.04</v>
      </c>
      <c r="DN104" s="43">
        <f t="shared" si="207"/>
        <v>8.04</v>
      </c>
      <c r="DO104" s="43">
        <f t="shared" si="207"/>
        <v>8.04</v>
      </c>
      <c r="DP104" s="44">
        <f t="shared" si="207"/>
        <v>12.059999999999999</v>
      </c>
      <c r="DQ104" s="44">
        <f t="shared" si="207"/>
        <v>12.059999999999999</v>
      </c>
      <c r="DR104" s="44">
        <f t="shared" si="207"/>
        <v>12.059999999999999</v>
      </c>
      <c r="DS104" s="44">
        <f t="shared" si="207"/>
        <v>12.059999999999999</v>
      </c>
      <c r="DT104" s="44">
        <f t="shared" si="207"/>
        <v>12.059999999999999</v>
      </c>
      <c r="DU104" s="43">
        <f t="shared" si="207"/>
        <v>12.059999999999999</v>
      </c>
      <c r="DV104" s="43">
        <f t="shared" si="207"/>
        <v>12.059999999999999</v>
      </c>
      <c r="DW104" s="43">
        <f t="shared" si="207"/>
        <v>12.059999999999999</v>
      </c>
      <c r="DX104" s="43">
        <f t="shared" si="207"/>
        <v>12.059999999999999</v>
      </c>
      <c r="DY104" s="43">
        <f t="shared" si="207"/>
        <v>12.059999999999999</v>
      </c>
      <c r="DZ104" s="43">
        <f t="shared" si="207"/>
        <v>12.059999999999999</v>
      </c>
      <c r="EA104" s="43">
        <f t="shared" si="207"/>
        <v>12.059999999999999</v>
      </c>
      <c r="EB104" s="43">
        <f t="shared" si="207"/>
        <v>12.059999999999999</v>
      </c>
      <c r="EC104" s="43">
        <f t="shared" si="207"/>
        <v>12.059999999999999</v>
      </c>
      <c r="ED104" s="43">
        <f aca="true" t="shared" si="208" ref="ED104:GO104">ED103-ED102</f>
        <v>12.059999999999999</v>
      </c>
      <c r="EE104" s="43">
        <f t="shared" si="208"/>
        <v>12.059999999999999</v>
      </c>
      <c r="EF104" s="43">
        <f t="shared" si="208"/>
        <v>12.059999999999999</v>
      </c>
      <c r="EG104" s="43">
        <f t="shared" si="208"/>
        <v>12.059999999999999</v>
      </c>
      <c r="EH104" s="43">
        <f t="shared" si="208"/>
        <v>12.059999999999999</v>
      </c>
      <c r="EI104" s="43">
        <f t="shared" si="208"/>
        <v>12.059999999999999</v>
      </c>
      <c r="EJ104" s="43">
        <f t="shared" si="208"/>
        <v>12.059999999999999</v>
      </c>
      <c r="EK104" s="43">
        <f t="shared" si="208"/>
        <v>12.059999999999999</v>
      </c>
      <c r="EL104" s="43">
        <f t="shared" si="208"/>
        <v>12.059999999999999</v>
      </c>
      <c r="EM104" s="43">
        <f t="shared" si="208"/>
        <v>12.059999999999999</v>
      </c>
      <c r="EN104" s="43">
        <f t="shared" si="208"/>
        <v>16.159999999999997</v>
      </c>
      <c r="EO104" s="43">
        <f t="shared" si="208"/>
        <v>16.159999999999997</v>
      </c>
      <c r="EP104" s="43">
        <f t="shared" si="208"/>
        <v>16.159999999999997</v>
      </c>
      <c r="EQ104" s="43">
        <f t="shared" si="208"/>
        <v>16.159999999999997</v>
      </c>
      <c r="ER104" s="43">
        <f t="shared" si="208"/>
        <v>16.159999999999997</v>
      </c>
      <c r="ES104" s="43">
        <f t="shared" si="208"/>
        <v>16.159999999999997</v>
      </c>
      <c r="ET104" s="43">
        <f t="shared" si="208"/>
        <v>16.159999999999997</v>
      </c>
      <c r="EU104" s="43">
        <f t="shared" si="208"/>
        <v>16.159999999999997</v>
      </c>
      <c r="EV104" s="43">
        <f t="shared" si="208"/>
        <v>16.159999999999997</v>
      </c>
      <c r="EW104" s="43">
        <f t="shared" si="208"/>
        <v>19.48</v>
      </c>
      <c r="EX104" s="43">
        <f t="shared" si="208"/>
        <v>19.48</v>
      </c>
      <c r="EY104" s="43">
        <f t="shared" si="208"/>
        <v>19.48</v>
      </c>
      <c r="EZ104" s="43">
        <f t="shared" si="208"/>
        <v>19.48</v>
      </c>
      <c r="FA104" s="43">
        <f t="shared" si="208"/>
        <v>19.48</v>
      </c>
      <c r="FB104" s="43">
        <f t="shared" si="208"/>
        <v>19.48</v>
      </c>
      <c r="FC104" s="43">
        <f t="shared" si="208"/>
        <v>19.48</v>
      </c>
      <c r="FD104" s="43">
        <f t="shared" si="208"/>
        <v>19.48</v>
      </c>
      <c r="FE104" s="43">
        <f t="shared" si="208"/>
        <v>19.48</v>
      </c>
      <c r="FF104" s="43">
        <f t="shared" si="208"/>
        <v>19.48</v>
      </c>
      <c r="FG104" s="43">
        <f t="shared" si="208"/>
        <v>19.48</v>
      </c>
      <c r="FH104" s="43">
        <f t="shared" si="208"/>
        <v>19.48</v>
      </c>
      <c r="FI104" s="43">
        <f t="shared" si="208"/>
        <v>19.48</v>
      </c>
      <c r="FJ104" s="43">
        <f t="shared" si="208"/>
        <v>19.48</v>
      </c>
      <c r="FK104" s="43">
        <f t="shared" si="208"/>
        <v>19.48</v>
      </c>
      <c r="FL104" s="43">
        <f t="shared" si="208"/>
        <v>19.48</v>
      </c>
      <c r="FM104" s="43">
        <f t="shared" si="208"/>
        <v>19.48</v>
      </c>
      <c r="FN104" s="43">
        <f t="shared" si="208"/>
        <v>19.48</v>
      </c>
      <c r="FO104" s="43">
        <f t="shared" si="208"/>
        <v>19.48</v>
      </c>
      <c r="FP104" s="43">
        <f t="shared" si="208"/>
        <v>19.48</v>
      </c>
      <c r="FQ104" s="43">
        <f t="shared" si="208"/>
        <v>19.48</v>
      </c>
      <c r="FR104" s="43">
        <f t="shared" si="208"/>
        <v>19.48</v>
      </c>
      <c r="FS104" s="43">
        <f t="shared" si="208"/>
        <v>19.48</v>
      </c>
      <c r="FT104" s="43">
        <f t="shared" si="208"/>
        <v>19.48</v>
      </c>
      <c r="FU104" s="43">
        <f t="shared" si="208"/>
        <v>19.48</v>
      </c>
      <c r="FV104" s="43">
        <f t="shared" si="208"/>
        <v>19.48</v>
      </c>
      <c r="FW104" s="43">
        <f t="shared" si="208"/>
        <v>19.48</v>
      </c>
      <c r="FX104" s="43">
        <f t="shared" si="208"/>
        <v>24.4</v>
      </c>
      <c r="FY104" s="43">
        <f t="shared" si="208"/>
        <v>24.4</v>
      </c>
      <c r="FZ104" s="43">
        <f t="shared" si="208"/>
        <v>24.4</v>
      </c>
      <c r="GA104" s="43">
        <f t="shared" si="208"/>
        <v>24.4</v>
      </c>
      <c r="GB104" s="43">
        <f t="shared" si="208"/>
        <v>24.4</v>
      </c>
      <c r="GC104" s="43">
        <f t="shared" si="208"/>
        <v>24.4</v>
      </c>
      <c r="GD104" s="43">
        <f t="shared" si="208"/>
        <v>24.4</v>
      </c>
      <c r="GE104" s="43">
        <f t="shared" si="208"/>
        <v>24.4</v>
      </c>
      <c r="GF104" s="43">
        <f t="shared" si="208"/>
        <v>24.4</v>
      </c>
      <c r="GG104" s="43">
        <f t="shared" si="208"/>
        <v>24.4</v>
      </c>
      <c r="GH104" s="43">
        <f t="shared" si="208"/>
        <v>24.4</v>
      </c>
      <c r="GI104" s="43">
        <f t="shared" si="208"/>
        <v>24.4</v>
      </c>
      <c r="GJ104" s="43">
        <f t="shared" si="208"/>
        <v>24.4</v>
      </c>
      <c r="GK104" s="43">
        <f t="shared" si="208"/>
        <v>24.4</v>
      </c>
      <c r="GL104" s="43">
        <f t="shared" si="208"/>
        <v>24.4</v>
      </c>
      <c r="GM104" s="43">
        <f t="shared" si="208"/>
        <v>24.4</v>
      </c>
      <c r="GN104" s="43">
        <f t="shared" si="208"/>
        <v>24.4</v>
      </c>
      <c r="GO104" s="43">
        <f t="shared" si="208"/>
        <v>24.4</v>
      </c>
    </row>
    <row r="105" spans="1:256" s="9" customFormat="1" ht="15">
      <c r="A105" s="4" t="s">
        <v>256</v>
      </c>
      <c r="B105" s="4"/>
      <c r="C105" s="12" t="s">
        <v>216</v>
      </c>
      <c r="D105" s="49">
        <v>12.4</v>
      </c>
      <c r="F105" s="19">
        <v>10.7</v>
      </c>
      <c r="O105" s="29"/>
      <c r="P105" s="19">
        <v>53.5</v>
      </c>
      <c r="R105" s="19">
        <v>10.5</v>
      </c>
      <c r="S105" s="19">
        <v>10</v>
      </c>
      <c r="T105" s="19">
        <v>13.6</v>
      </c>
      <c r="X105" s="19">
        <v>11.9</v>
      </c>
      <c r="Y105" s="19">
        <v>13</v>
      </c>
      <c r="AB105" s="19">
        <v>11.7</v>
      </c>
      <c r="AE105" s="19">
        <v>4.1</v>
      </c>
      <c r="AF105" s="19">
        <v>5</v>
      </c>
      <c r="AL105" s="19">
        <v>3.8</v>
      </c>
      <c r="AM105" s="19">
        <v>15.1</v>
      </c>
      <c r="AQ105" s="19">
        <v>33.4</v>
      </c>
      <c r="AR105" s="9">
        <v>5</v>
      </c>
      <c r="AV105" s="9">
        <v>10</v>
      </c>
      <c r="AW105" s="9">
        <v>4.4</v>
      </c>
      <c r="AX105" s="9">
        <v>10</v>
      </c>
      <c r="AZ105" s="9">
        <v>5.3</v>
      </c>
      <c r="BC105" s="9">
        <v>6.3</v>
      </c>
      <c r="BD105" s="9">
        <v>5</v>
      </c>
      <c r="BH105" s="9">
        <v>9</v>
      </c>
      <c r="BJ105" s="9">
        <v>5</v>
      </c>
      <c r="BK105" s="9">
        <v>6.1</v>
      </c>
      <c r="BL105" s="9">
        <v>5</v>
      </c>
      <c r="BQ105" s="9">
        <v>6.4</v>
      </c>
      <c r="BT105" s="31"/>
      <c r="BU105" s="31"/>
      <c r="BV105" s="31"/>
      <c r="BX105" s="9">
        <v>10</v>
      </c>
      <c r="BY105" s="30">
        <v>5</v>
      </c>
      <c r="BZ105" s="30">
        <v>9.7</v>
      </c>
      <c r="CB105" s="19">
        <v>4</v>
      </c>
      <c r="CC105" s="30">
        <v>5.3</v>
      </c>
      <c r="CF105" s="30">
        <v>5</v>
      </c>
      <c r="CG105" s="9">
        <v>5</v>
      </c>
      <c r="CH105" s="9">
        <v>5</v>
      </c>
      <c r="CP105" s="19">
        <v>35</v>
      </c>
      <c r="DP105" s="29"/>
      <c r="DQ105" s="29">
        <f>0.8+0.3</f>
        <v>1.1</v>
      </c>
      <c r="DR105" s="29"/>
      <c r="DS105" s="29"/>
      <c r="DT105" s="29"/>
      <c r="DV105" s="30">
        <v>12.4</v>
      </c>
      <c r="DW105" s="30">
        <v>10</v>
      </c>
      <c r="DX105" s="30">
        <v>9.1</v>
      </c>
      <c r="DY105" s="30">
        <v>10</v>
      </c>
      <c r="DZ105" s="30">
        <v>10</v>
      </c>
      <c r="EB105" s="9">
        <v>7</v>
      </c>
      <c r="EC105" s="9">
        <v>7</v>
      </c>
      <c r="ED105" s="9">
        <v>7</v>
      </c>
      <c r="EP105" s="98">
        <v>23.8</v>
      </c>
      <c r="EZ105" s="98">
        <v>2.1</v>
      </c>
      <c r="FR105" s="9">
        <v>60</v>
      </c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197" ht="15">
      <c r="A106" s="35"/>
      <c r="B106" s="35"/>
      <c r="C106" s="24" t="s">
        <v>217</v>
      </c>
      <c r="D106" s="39">
        <v>229.4</v>
      </c>
      <c r="E106" s="14">
        <f>D107</f>
        <v>217</v>
      </c>
      <c r="F106" s="14">
        <f aca="true" t="shared" si="209" ref="F106:BQ106">E107</f>
        <v>217</v>
      </c>
      <c r="G106" s="14">
        <f t="shared" si="209"/>
        <v>206.3</v>
      </c>
      <c r="H106" s="14">
        <f t="shared" si="209"/>
        <v>206.3</v>
      </c>
      <c r="I106" s="14">
        <f t="shared" si="209"/>
        <v>206.3</v>
      </c>
      <c r="J106" s="14">
        <f t="shared" si="209"/>
        <v>206.3</v>
      </c>
      <c r="K106" s="14">
        <f t="shared" si="209"/>
        <v>206.3</v>
      </c>
      <c r="L106" s="14">
        <f t="shared" si="209"/>
        <v>206.3</v>
      </c>
      <c r="M106" s="14">
        <f t="shared" si="209"/>
        <v>206.3</v>
      </c>
      <c r="N106" s="14">
        <f t="shared" si="209"/>
        <v>206.3</v>
      </c>
      <c r="O106" s="15">
        <f t="shared" si="209"/>
        <v>206.3</v>
      </c>
      <c r="P106" s="14">
        <f t="shared" si="209"/>
        <v>206.3</v>
      </c>
      <c r="Q106" s="14">
        <f t="shared" si="209"/>
        <v>152.8</v>
      </c>
      <c r="R106" s="14">
        <f t="shared" si="209"/>
        <v>152.8</v>
      </c>
      <c r="S106" s="14">
        <f t="shared" si="209"/>
        <v>142.3</v>
      </c>
      <c r="T106" s="14">
        <f t="shared" si="209"/>
        <v>132.3</v>
      </c>
      <c r="U106" s="14">
        <f t="shared" si="209"/>
        <v>118.70000000000002</v>
      </c>
      <c r="V106" s="14">
        <f t="shared" si="209"/>
        <v>118.70000000000002</v>
      </c>
      <c r="W106" s="14">
        <f t="shared" si="209"/>
        <v>118.70000000000002</v>
      </c>
      <c r="X106" s="15">
        <f t="shared" si="209"/>
        <v>118.70000000000002</v>
      </c>
      <c r="Y106" s="14">
        <f t="shared" si="209"/>
        <v>106.80000000000001</v>
      </c>
      <c r="Z106" s="14">
        <f t="shared" si="209"/>
        <v>93.80000000000001</v>
      </c>
      <c r="AA106" s="14">
        <f>Z107+19+3.8+5.3+0.2+12.3</f>
        <v>134.4</v>
      </c>
      <c r="AB106" s="14">
        <f t="shared" si="209"/>
        <v>134.4</v>
      </c>
      <c r="AC106" s="14">
        <f t="shared" si="209"/>
        <v>122.7</v>
      </c>
      <c r="AD106" s="14">
        <f t="shared" si="209"/>
        <v>122.7</v>
      </c>
      <c r="AE106" s="14">
        <f t="shared" si="209"/>
        <v>122.7</v>
      </c>
      <c r="AF106" s="14">
        <f t="shared" si="209"/>
        <v>118.60000000000001</v>
      </c>
      <c r="AG106" s="14">
        <f t="shared" si="209"/>
        <v>113.60000000000001</v>
      </c>
      <c r="AH106" s="14">
        <f t="shared" si="209"/>
        <v>113.60000000000001</v>
      </c>
      <c r="AI106" s="14">
        <f t="shared" si="209"/>
        <v>113.60000000000001</v>
      </c>
      <c r="AJ106" s="14">
        <f>AI107+13+1.7</f>
        <v>128.3</v>
      </c>
      <c r="AK106" s="14">
        <f t="shared" si="209"/>
        <v>128.3</v>
      </c>
      <c r="AL106" s="14">
        <f t="shared" si="209"/>
        <v>128.3</v>
      </c>
      <c r="AM106" s="14">
        <f t="shared" si="209"/>
        <v>124.50000000000001</v>
      </c>
      <c r="AN106" s="14">
        <f t="shared" si="209"/>
        <v>109.40000000000002</v>
      </c>
      <c r="AO106" s="14">
        <f t="shared" si="209"/>
        <v>109.40000000000002</v>
      </c>
      <c r="AP106" s="14">
        <f t="shared" si="209"/>
        <v>109.40000000000002</v>
      </c>
      <c r="AQ106" s="14">
        <f t="shared" si="209"/>
        <v>109.40000000000002</v>
      </c>
      <c r="AR106" s="14">
        <f t="shared" si="209"/>
        <v>76.00000000000003</v>
      </c>
      <c r="AS106" s="14">
        <f t="shared" si="209"/>
        <v>71.00000000000003</v>
      </c>
      <c r="AT106" s="14">
        <f t="shared" si="209"/>
        <v>71.00000000000003</v>
      </c>
      <c r="AU106" s="14">
        <f t="shared" si="209"/>
        <v>71.00000000000003</v>
      </c>
      <c r="AV106" s="14">
        <f t="shared" si="209"/>
        <v>71.00000000000003</v>
      </c>
      <c r="AW106" s="14">
        <f t="shared" si="209"/>
        <v>61.00000000000003</v>
      </c>
      <c r="AX106" s="14">
        <f t="shared" si="209"/>
        <v>56.60000000000003</v>
      </c>
      <c r="AY106" s="14">
        <f t="shared" si="209"/>
        <v>46.60000000000003</v>
      </c>
      <c r="AZ106" s="14">
        <f t="shared" si="209"/>
        <v>46.60000000000003</v>
      </c>
      <c r="BA106" s="14">
        <f t="shared" si="209"/>
        <v>41.30000000000003</v>
      </c>
      <c r="BB106" s="14">
        <f>BA107+19.4+3.9+5.4+0.2+12.3</f>
        <v>82.50000000000004</v>
      </c>
      <c r="BC106" s="14">
        <f t="shared" si="209"/>
        <v>82.50000000000004</v>
      </c>
      <c r="BD106" s="14">
        <f t="shared" si="209"/>
        <v>76.20000000000005</v>
      </c>
      <c r="BE106" s="14">
        <f t="shared" si="209"/>
        <v>71.20000000000005</v>
      </c>
      <c r="BF106" s="14">
        <f t="shared" si="209"/>
        <v>71.20000000000005</v>
      </c>
      <c r="BG106" s="14">
        <f t="shared" si="209"/>
        <v>71.20000000000005</v>
      </c>
      <c r="BH106" s="14">
        <f t="shared" si="209"/>
        <v>71.20000000000005</v>
      </c>
      <c r="BI106" s="14">
        <f t="shared" si="209"/>
        <v>62.200000000000045</v>
      </c>
      <c r="BJ106" s="14">
        <f>BI107+38.7+5.4</f>
        <v>106.30000000000005</v>
      </c>
      <c r="BK106" s="14">
        <f t="shared" si="209"/>
        <v>101.30000000000005</v>
      </c>
      <c r="BL106" s="14">
        <f t="shared" si="209"/>
        <v>95.20000000000006</v>
      </c>
      <c r="BM106" s="14">
        <f t="shared" si="209"/>
        <v>90.20000000000006</v>
      </c>
      <c r="BN106" s="14">
        <f t="shared" si="209"/>
        <v>90.20000000000006</v>
      </c>
      <c r="BO106" s="14">
        <f t="shared" si="209"/>
        <v>90.20000000000006</v>
      </c>
      <c r="BP106" s="14">
        <f t="shared" si="209"/>
        <v>90.20000000000006</v>
      </c>
      <c r="BQ106" s="14">
        <f t="shared" si="209"/>
        <v>90.20000000000006</v>
      </c>
      <c r="BR106" s="14">
        <f aca="true" t="shared" si="210" ref="BR106:EC106">BQ107</f>
        <v>83.80000000000005</v>
      </c>
      <c r="BS106" s="14">
        <f t="shared" si="210"/>
        <v>83.80000000000005</v>
      </c>
      <c r="BT106" s="26">
        <f t="shared" si="210"/>
        <v>83.80000000000005</v>
      </c>
      <c r="BU106" s="26">
        <f t="shared" si="210"/>
        <v>83.80000000000005</v>
      </c>
      <c r="BV106" s="26">
        <f t="shared" si="210"/>
        <v>83.80000000000005</v>
      </c>
      <c r="BW106" s="14">
        <f t="shared" si="210"/>
        <v>83.80000000000005</v>
      </c>
      <c r="BX106" s="14">
        <f t="shared" si="210"/>
        <v>83.80000000000005</v>
      </c>
      <c r="BY106" s="14">
        <f t="shared" si="210"/>
        <v>73.80000000000005</v>
      </c>
      <c r="BZ106" s="14">
        <f t="shared" si="210"/>
        <v>68.80000000000005</v>
      </c>
      <c r="CA106" s="14">
        <f>BZ107+19.4+3.9+5.4+0.2+12.4</f>
        <v>100.40000000000008</v>
      </c>
      <c r="CB106" s="14">
        <f t="shared" si="210"/>
        <v>100.40000000000008</v>
      </c>
      <c r="CC106" s="14">
        <f t="shared" si="210"/>
        <v>96.40000000000008</v>
      </c>
      <c r="CD106" s="14">
        <f t="shared" si="210"/>
        <v>91.10000000000008</v>
      </c>
      <c r="CE106" s="14">
        <f t="shared" si="210"/>
        <v>91.10000000000008</v>
      </c>
      <c r="CF106" s="14">
        <f t="shared" si="210"/>
        <v>91.10000000000008</v>
      </c>
      <c r="CG106" s="14">
        <f t="shared" si="210"/>
        <v>86.10000000000008</v>
      </c>
      <c r="CH106" s="14">
        <f t="shared" si="210"/>
        <v>81.10000000000008</v>
      </c>
      <c r="CI106" s="14">
        <f t="shared" si="210"/>
        <v>76.10000000000008</v>
      </c>
      <c r="CJ106" s="14">
        <f t="shared" si="210"/>
        <v>76.10000000000008</v>
      </c>
      <c r="CK106" s="14">
        <f t="shared" si="210"/>
        <v>76.10000000000008</v>
      </c>
      <c r="CL106" s="14">
        <f t="shared" si="210"/>
        <v>76.10000000000008</v>
      </c>
      <c r="CM106" s="14">
        <f t="shared" si="210"/>
        <v>76.10000000000008</v>
      </c>
      <c r="CN106" s="14">
        <f t="shared" si="210"/>
        <v>76.10000000000008</v>
      </c>
      <c r="CO106" s="14">
        <f t="shared" si="210"/>
        <v>76.10000000000008</v>
      </c>
      <c r="CP106" s="14">
        <f t="shared" si="210"/>
        <v>76.10000000000008</v>
      </c>
      <c r="CQ106" s="14">
        <f t="shared" si="210"/>
        <v>41.10000000000008</v>
      </c>
      <c r="CR106" s="14">
        <f t="shared" si="210"/>
        <v>41.10000000000008</v>
      </c>
      <c r="CS106" s="14">
        <f t="shared" si="210"/>
        <v>41.10000000000008</v>
      </c>
      <c r="CT106" s="14">
        <f t="shared" si="210"/>
        <v>41.10000000000008</v>
      </c>
      <c r="CU106" s="14">
        <f t="shared" si="210"/>
        <v>41.10000000000008</v>
      </c>
      <c r="CV106" s="14">
        <f t="shared" si="210"/>
        <v>41.10000000000008</v>
      </c>
      <c r="CW106" s="14">
        <f>CV107+12.9</f>
        <v>54.00000000000008</v>
      </c>
      <c r="CX106" s="14">
        <f t="shared" si="210"/>
        <v>54.00000000000008</v>
      </c>
      <c r="CY106" s="14">
        <f t="shared" si="210"/>
        <v>54.00000000000008</v>
      </c>
      <c r="CZ106" s="14">
        <f t="shared" si="210"/>
        <v>54.00000000000008</v>
      </c>
      <c r="DA106" s="14">
        <f t="shared" si="210"/>
        <v>54.00000000000008</v>
      </c>
      <c r="DB106" s="14">
        <f t="shared" si="210"/>
        <v>54.00000000000008</v>
      </c>
      <c r="DC106" s="14">
        <f t="shared" si="210"/>
        <v>54.00000000000008</v>
      </c>
      <c r="DD106" s="14">
        <f t="shared" si="210"/>
        <v>54.00000000000008</v>
      </c>
      <c r="DE106" s="14">
        <f t="shared" si="210"/>
        <v>54.00000000000008</v>
      </c>
      <c r="DF106" s="14">
        <f t="shared" si="210"/>
        <v>54.00000000000008</v>
      </c>
      <c r="DG106" s="14">
        <f>DF107+12.7</f>
        <v>66.70000000000007</v>
      </c>
      <c r="DH106" s="14">
        <f t="shared" si="210"/>
        <v>66.70000000000007</v>
      </c>
      <c r="DI106" s="14">
        <f t="shared" si="210"/>
        <v>66.70000000000007</v>
      </c>
      <c r="DJ106" s="14">
        <f>DI107+0.2+20+4.2+5.6</f>
        <v>96.70000000000007</v>
      </c>
      <c r="DK106" s="14">
        <f t="shared" si="210"/>
        <v>96.70000000000007</v>
      </c>
      <c r="DL106" s="14">
        <f t="shared" si="210"/>
        <v>96.70000000000007</v>
      </c>
      <c r="DM106" s="14">
        <f t="shared" si="210"/>
        <v>96.70000000000007</v>
      </c>
      <c r="DN106" s="14">
        <f t="shared" si="210"/>
        <v>96.70000000000007</v>
      </c>
      <c r="DO106" s="14">
        <f t="shared" si="210"/>
        <v>96.70000000000007</v>
      </c>
      <c r="DP106" s="15">
        <f t="shared" si="210"/>
        <v>96.70000000000007</v>
      </c>
      <c r="DQ106" s="15">
        <f>DP107+0.8+0.3</f>
        <v>97.80000000000007</v>
      </c>
      <c r="DR106" s="15">
        <f>DQ107</f>
        <v>96.70000000000007</v>
      </c>
      <c r="DS106" s="15">
        <f>DR107+12.3+5.4+3.9+19.4+0.2</f>
        <v>137.90000000000006</v>
      </c>
      <c r="DT106" s="15">
        <f t="shared" si="210"/>
        <v>137.90000000000006</v>
      </c>
      <c r="DU106" s="14">
        <f t="shared" si="210"/>
        <v>137.90000000000006</v>
      </c>
      <c r="DV106" s="14">
        <f t="shared" si="210"/>
        <v>137.90000000000006</v>
      </c>
      <c r="DW106" s="14">
        <f t="shared" si="210"/>
        <v>125.50000000000006</v>
      </c>
      <c r="DX106" s="14">
        <f t="shared" si="210"/>
        <v>115.50000000000006</v>
      </c>
      <c r="DY106" s="14">
        <f t="shared" si="210"/>
        <v>106.40000000000006</v>
      </c>
      <c r="DZ106" s="14">
        <f t="shared" si="210"/>
        <v>96.40000000000006</v>
      </c>
      <c r="EA106" s="14">
        <f t="shared" si="210"/>
        <v>86.40000000000006</v>
      </c>
      <c r="EB106" s="14">
        <f t="shared" si="210"/>
        <v>86.40000000000006</v>
      </c>
      <c r="EC106" s="14">
        <f t="shared" si="210"/>
        <v>79.40000000000006</v>
      </c>
      <c r="ED106" s="14">
        <f aca="true" t="shared" si="211" ref="ED106:GO106">EC107</f>
        <v>72.40000000000006</v>
      </c>
      <c r="EE106" s="14">
        <f t="shared" si="211"/>
        <v>65.40000000000006</v>
      </c>
      <c r="EF106" s="14">
        <f t="shared" si="211"/>
        <v>65.40000000000006</v>
      </c>
      <c r="EG106" s="14">
        <f t="shared" si="211"/>
        <v>65.40000000000006</v>
      </c>
      <c r="EH106" s="14">
        <f t="shared" si="211"/>
        <v>65.40000000000006</v>
      </c>
      <c r="EI106" s="14">
        <f t="shared" si="211"/>
        <v>65.40000000000006</v>
      </c>
      <c r="EJ106" s="14">
        <f t="shared" si="211"/>
        <v>65.40000000000006</v>
      </c>
      <c r="EK106" s="14">
        <f t="shared" si="211"/>
        <v>65.40000000000006</v>
      </c>
      <c r="EL106" s="14">
        <f t="shared" si="211"/>
        <v>65.40000000000006</v>
      </c>
      <c r="EM106" s="14">
        <f t="shared" si="211"/>
        <v>65.40000000000006</v>
      </c>
      <c r="EN106" s="14">
        <f>EM107+38.7+5.4</f>
        <v>109.50000000000007</v>
      </c>
      <c r="EO106" s="14">
        <f t="shared" si="211"/>
        <v>109.50000000000007</v>
      </c>
      <c r="EP106" s="14">
        <f t="shared" si="211"/>
        <v>109.50000000000007</v>
      </c>
      <c r="EQ106" s="14">
        <f t="shared" si="211"/>
        <v>85.70000000000007</v>
      </c>
      <c r="ER106" s="14">
        <f>EQ107</f>
        <v>85.70000000000007</v>
      </c>
      <c r="ES106" s="14">
        <f>ER107</f>
        <v>85.70000000000007</v>
      </c>
      <c r="ET106" s="14">
        <f>ES107</f>
        <v>85.70000000000007</v>
      </c>
      <c r="EU106" s="14">
        <f t="shared" si="211"/>
        <v>85.70000000000007</v>
      </c>
      <c r="EV106" s="14">
        <f t="shared" si="211"/>
        <v>85.70000000000007</v>
      </c>
      <c r="EW106" s="14">
        <f>EV107+11.6+5.1+3.5+18.3+0.2</f>
        <v>124.40000000000006</v>
      </c>
      <c r="EX106" s="14">
        <f t="shared" si="211"/>
        <v>124.40000000000006</v>
      </c>
      <c r="EY106" s="14">
        <f t="shared" si="211"/>
        <v>124.40000000000006</v>
      </c>
      <c r="EZ106" s="14">
        <f t="shared" si="211"/>
        <v>124.40000000000006</v>
      </c>
      <c r="FA106" s="14">
        <f t="shared" si="211"/>
        <v>122.30000000000007</v>
      </c>
      <c r="FB106" s="14">
        <f t="shared" si="211"/>
        <v>122.30000000000007</v>
      </c>
      <c r="FC106" s="14">
        <f t="shared" si="211"/>
        <v>122.30000000000007</v>
      </c>
      <c r="FD106" s="14">
        <f t="shared" si="211"/>
        <v>122.30000000000007</v>
      </c>
      <c r="FE106" s="14">
        <f t="shared" si="211"/>
        <v>122.30000000000007</v>
      </c>
      <c r="FF106" s="14">
        <f t="shared" si="211"/>
        <v>122.30000000000007</v>
      </c>
      <c r="FG106" s="14">
        <f t="shared" si="211"/>
        <v>122.30000000000007</v>
      </c>
      <c r="FH106" s="14">
        <f t="shared" si="211"/>
        <v>122.30000000000007</v>
      </c>
      <c r="FI106" s="14">
        <f t="shared" si="211"/>
        <v>122.30000000000007</v>
      </c>
      <c r="FJ106" s="14">
        <f t="shared" si="211"/>
        <v>122.30000000000007</v>
      </c>
      <c r="FK106" s="14">
        <f t="shared" si="211"/>
        <v>122.30000000000007</v>
      </c>
      <c r="FL106" s="14">
        <f t="shared" si="211"/>
        <v>122.30000000000007</v>
      </c>
      <c r="FM106" s="14">
        <f>FL107+0.1</f>
        <v>122.40000000000006</v>
      </c>
      <c r="FN106" s="14">
        <f t="shared" si="211"/>
        <v>122.40000000000006</v>
      </c>
      <c r="FO106" s="14">
        <f t="shared" si="211"/>
        <v>122.40000000000006</v>
      </c>
      <c r="FP106" s="14">
        <f t="shared" si="211"/>
        <v>122.40000000000006</v>
      </c>
      <c r="FQ106" s="14">
        <f t="shared" si="211"/>
        <v>122.40000000000006</v>
      </c>
      <c r="FR106" s="14">
        <f t="shared" si="211"/>
        <v>122.40000000000006</v>
      </c>
      <c r="FS106" s="14">
        <f t="shared" si="211"/>
        <v>62.40000000000006</v>
      </c>
      <c r="FT106" s="14">
        <f t="shared" si="211"/>
        <v>62.40000000000006</v>
      </c>
      <c r="FU106" s="14">
        <f t="shared" si="211"/>
        <v>62.40000000000006</v>
      </c>
      <c r="FV106" s="14">
        <f t="shared" si="211"/>
        <v>62.40000000000006</v>
      </c>
      <c r="FW106" s="14">
        <f t="shared" si="211"/>
        <v>62.40000000000006</v>
      </c>
      <c r="FX106" s="14">
        <f t="shared" si="211"/>
        <v>62.40000000000006</v>
      </c>
      <c r="FY106" s="14">
        <f t="shared" si="211"/>
        <v>62.40000000000006</v>
      </c>
      <c r="FZ106" s="14">
        <f t="shared" si="211"/>
        <v>62.40000000000006</v>
      </c>
      <c r="GA106" s="14">
        <f t="shared" si="211"/>
        <v>62.40000000000006</v>
      </c>
      <c r="GB106" s="14">
        <f t="shared" si="211"/>
        <v>62.40000000000006</v>
      </c>
      <c r="GC106" s="14">
        <f t="shared" si="211"/>
        <v>62.40000000000006</v>
      </c>
      <c r="GD106" s="14">
        <f t="shared" si="211"/>
        <v>62.40000000000006</v>
      </c>
      <c r="GE106" s="14">
        <f t="shared" si="211"/>
        <v>62.40000000000006</v>
      </c>
      <c r="GF106" s="14">
        <f t="shared" si="211"/>
        <v>62.40000000000006</v>
      </c>
      <c r="GG106" s="14">
        <f t="shared" si="211"/>
        <v>62.40000000000006</v>
      </c>
      <c r="GH106" s="14">
        <f t="shared" si="211"/>
        <v>62.40000000000006</v>
      </c>
      <c r="GI106" s="14">
        <f t="shared" si="211"/>
        <v>62.40000000000006</v>
      </c>
      <c r="GJ106" s="14">
        <f t="shared" si="211"/>
        <v>62.40000000000006</v>
      </c>
      <c r="GK106" s="14">
        <f t="shared" si="211"/>
        <v>62.40000000000006</v>
      </c>
      <c r="GL106" s="14">
        <f t="shared" si="211"/>
        <v>62.40000000000006</v>
      </c>
      <c r="GM106" s="14">
        <f t="shared" si="211"/>
        <v>62.40000000000006</v>
      </c>
      <c r="GN106" s="14">
        <f t="shared" si="211"/>
        <v>62.40000000000006</v>
      </c>
      <c r="GO106" s="14">
        <f t="shared" si="211"/>
        <v>62.40000000000006</v>
      </c>
    </row>
    <row r="107" spans="1:197" ht="15">
      <c r="A107" s="35"/>
      <c r="B107" s="35"/>
      <c r="C107" s="24" t="s">
        <v>218</v>
      </c>
      <c r="D107" s="16">
        <f>D106-D105</f>
        <v>217</v>
      </c>
      <c r="E107" s="16">
        <f>E106-E105</f>
        <v>217</v>
      </c>
      <c r="F107" s="16">
        <f aca="true" t="shared" si="212" ref="F107:BQ107">F106-F105</f>
        <v>206.3</v>
      </c>
      <c r="G107" s="16">
        <f t="shared" si="212"/>
        <v>206.3</v>
      </c>
      <c r="H107" s="16">
        <f t="shared" si="212"/>
        <v>206.3</v>
      </c>
      <c r="I107" s="16">
        <f t="shared" si="212"/>
        <v>206.3</v>
      </c>
      <c r="J107" s="16">
        <f t="shared" si="212"/>
        <v>206.3</v>
      </c>
      <c r="K107" s="16">
        <f t="shared" si="212"/>
        <v>206.3</v>
      </c>
      <c r="L107" s="16">
        <f t="shared" si="212"/>
        <v>206.3</v>
      </c>
      <c r="M107" s="16">
        <f t="shared" si="212"/>
        <v>206.3</v>
      </c>
      <c r="N107" s="16">
        <f t="shared" si="212"/>
        <v>206.3</v>
      </c>
      <c r="O107" s="17">
        <f t="shared" si="212"/>
        <v>206.3</v>
      </c>
      <c r="P107" s="16">
        <f t="shared" si="212"/>
        <v>152.8</v>
      </c>
      <c r="Q107" s="16">
        <f t="shared" si="212"/>
        <v>152.8</v>
      </c>
      <c r="R107" s="16">
        <f t="shared" si="212"/>
        <v>142.3</v>
      </c>
      <c r="S107" s="16">
        <f t="shared" si="212"/>
        <v>132.3</v>
      </c>
      <c r="T107" s="16">
        <f t="shared" si="212"/>
        <v>118.70000000000002</v>
      </c>
      <c r="U107" s="16">
        <f t="shared" si="212"/>
        <v>118.70000000000002</v>
      </c>
      <c r="V107" s="16">
        <f t="shared" si="212"/>
        <v>118.70000000000002</v>
      </c>
      <c r="W107" s="16">
        <f t="shared" si="212"/>
        <v>118.70000000000002</v>
      </c>
      <c r="X107" s="17">
        <f t="shared" si="212"/>
        <v>106.80000000000001</v>
      </c>
      <c r="Y107" s="16">
        <f t="shared" si="212"/>
        <v>93.80000000000001</v>
      </c>
      <c r="Z107" s="16">
        <f t="shared" si="212"/>
        <v>93.80000000000001</v>
      </c>
      <c r="AA107" s="16">
        <f t="shared" si="212"/>
        <v>134.4</v>
      </c>
      <c r="AB107" s="16">
        <f t="shared" si="212"/>
        <v>122.7</v>
      </c>
      <c r="AC107" s="16">
        <f t="shared" si="212"/>
        <v>122.7</v>
      </c>
      <c r="AD107" s="16">
        <f t="shared" si="212"/>
        <v>122.7</v>
      </c>
      <c r="AE107" s="16">
        <f t="shared" si="212"/>
        <v>118.60000000000001</v>
      </c>
      <c r="AF107" s="16">
        <f t="shared" si="212"/>
        <v>113.60000000000001</v>
      </c>
      <c r="AG107" s="16">
        <f t="shared" si="212"/>
        <v>113.60000000000001</v>
      </c>
      <c r="AH107" s="16">
        <f t="shared" si="212"/>
        <v>113.60000000000001</v>
      </c>
      <c r="AI107" s="16">
        <f t="shared" si="212"/>
        <v>113.60000000000001</v>
      </c>
      <c r="AJ107" s="16">
        <f t="shared" si="212"/>
        <v>128.3</v>
      </c>
      <c r="AK107" s="16">
        <f t="shared" si="212"/>
        <v>128.3</v>
      </c>
      <c r="AL107" s="16">
        <f t="shared" si="212"/>
        <v>124.50000000000001</v>
      </c>
      <c r="AM107" s="16">
        <f t="shared" si="212"/>
        <v>109.40000000000002</v>
      </c>
      <c r="AN107" s="16">
        <f t="shared" si="212"/>
        <v>109.40000000000002</v>
      </c>
      <c r="AO107" s="16">
        <f t="shared" si="212"/>
        <v>109.40000000000002</v>
      </c>
      <c r="AP107" s="16">
        <f t="shared" si="212"/>
        <v>109.40000000000002</v>
      </c>
      <c r="AQ107" s="16">
        <f t="shared" si="212"/>
        <v>76.00000000000003</v>
      </c>
      <c r="AR107" s="16">
        <f t="shared" si="212"/>
        <v>71.00000000000003</v>
      </c>
      <c r="AS107" s="16">
        <f t="shared" si="212"/>
        <v>71.00000000000003</v>
      </c>
      <c r="AT107" s="16">
        <f t="shared" si="212"/>
        <v>71.00000000000003</v>
      </c>
      <c r="AU107" s="16">
        <f t="shared" si="212"/>
        <v>71.00000000000003</v>
      </c>
      <c r="AV107" s="16">
        <f t="shared" si="212"/>
        <v>61.00000000000003</v>
      </c>
      <c r="AW107" s="16">
        <f t="shared" si="212"/>
        <v>56.60000000000003</v>
      </c>
      <c r="AX107" s="16">
        <f t="shared" si="212"/>
        <v>46.60000000000003</v>
      </c>
      <c r="AY107" s="16">
        <f t="shared" si="212"/>
        <v>46.60000000000003</v>
      </c>
      <c r="AZ107" s="16">
        <f t="shared" si="212"/>
        <v>41.30000000000003</v>
      </c>
      <c r="BA107" s="16">
        <f t="shared" si="212"/>
        <v>41.30000000000003</v>
      </c>
      <c r="BB107" s="16">
        <f t="shared" si="212"/>
        <v>82.50000000000004</v>
      </c>
      <c r="BC107" s="16">
        <f t="shared" si="212"/>
        <v>76.20000000000005</v>
      </c>
      <c r="BD107" s="16">
        <f t="shared" si="212"/>
        <v>71.20000000000005</v>
      </c>
      <c r="BE107" s="16">
        <f t="shared" si="212"/>
        <v>71.20000000000005</v>
      </c>
      <c r="BF107" s="16">
        <f t="shared" si="212"/>
        <v>71.20000000000005</v>
      </c>
      <c r="BG107" s="16">
        <f t="shared" si="212"/>
        <v>71.20000000000005</v>
      </c>
      <c r="BH107" s="16">
        <f t="shared" si="212"/>
        <v>62.200000000000045</v>
      </c>
      <c r="BI107" s="16">
        <f t="shared" si="212"/>
        <v>62.200000000000045</v>
      </c>
      <c r="BJ107" s="16">
        <f t="shared" si="212"/>
        <v>101.30000000000005</v>
      </c>
      <c r="BK107" s="16">
        <f t="shared" si="212"/>
        <v>95.20000000000006</v>
      </c>
      <c r="BL107" s="16">
        <f t="shared" si="212"/>
        <v>90.20000000000006</v>
      </c>
      <c r="BM107" s="16">
        <f t="shared" si="212"/>
        <v>90.20000000000006</v>
      </c>
      <c r="BN107" s="16">
        <f t="shared" si="212"/>
        <v>90.20000000000006</v>
      </c>
      <c r="BO107" s="16">
        <f t="shared" si="212"/>
        <v>90.20000000000006</v>
      </c>
      <c r="BP107" s="16">
        <f t="shared" si="212"/>
        <v>90.20000000000006</v>
      </c>
      <c r="BQ107" s="16">
        <f t="shared" si="212"/>
        <v>83.80000000000005</v>
      </c>
      <c r="BR107" s="16">
        <f aca="true" t="shared" si="213" ref="BR107:EC107">BR106-BR105</f>
        <v>83.80000000000005</v>
      </c>
      <c r="BS107" s="16">
        <f t="shared" si="213"/>
        <v>83.80000000000005</v>
      </c>
      <c r="BT107" s="27">
        <f t="shared" si="213"/>
        <v>83.80000000000005</v>
      </c>
      <c r="BU107" s="27">
        <f t="shared" si="213"/>
        <v>83.80000000000005</v>
      </c>
      <c r="BV107" s="27">
        <f t="shared" si="213"/>
        <v>83.80000000000005</v>
      </c>
      <c r="BW107" s="16">
        <f t="shared" si="213"/>
        <v>83.80000000000005</v>
      </c>
      <c r="BX107" s="16">
        <f t="shared" si="213"/>
        <v>73.80000000000005</v>
      </c>
      <c r="BY107" s="16">
        <f t="shared" si="213"/>
        <v>68.80000000000005</v>
      </c>
      <c r="BZ107" s="16">
        <f t="shared" si="213"/>
        <v>59.10000000000005</v>
      </c>
      <c r="CA107" s="16">
        <f t="shared" si="213"/>
        <v>100.40000000000008</v>
      </c>
      <c r="CB107" s="16">
        <f t="shared" si="213"/>
        <v>96.40000000000008</v>
      </c>
      <c r="CC107" s="16">
        <f t="shared" si="213"/>
        <v>91.10000000000008</v>
      </c>
      <c r="CD107" s="16">
        <f t="shared" si="213"/>
        <v>91.10000000000008</v>
      </c>
      <c r="CE107" s="16">
        <f t="shared" si="213"/>
        <v>91.10000000000008</v>
      </c>
      <c r="CF107" s="16">
        <f t="shared" si="213"/>
        <v>86.10000000000008</v>
      </c>
      <c r="CG107" s="16">
        <f t="shared" si="213"/>
        <v>81.10000000000008</v>
      </c>
      <c r="CH107" s="16">
        <f t="shared" si="213"/>
        <v>76.10000000000008</v>
      </c>
      <c r="CI107" s="16">
        <f t="shared" si="213"/>
        <v>76.10000000000008</v>
      </c>
      <c r="CJ107" s="16">
        <f t="shared" si="213"/>
        <v>76.10000000000008</v>
      </c>
      <c r="CK107" s="16">
        <f t="shared" si="213"/>
        <v>76.10000000000008</v>
      </c>
      <c r="CL107" s="16">
        <f t="shared" si="213"/>
        <v>76.10000000000008</v>
      </c>
      <c r="CM107" s="16">
        <f t="shared" si="213"/>
        <v>76.10000000000008</v>
      </c>
      <c r="CN107" s="16">
        <f t="shared" si="213"/>
        <v>76.10000000000008</v>
      </c>
      <c r="CO107" s="16">
        <f t="shared" si="213"/>
        <v>76.10000000000008</v>
      </c>
      <c r="CP107" s="16">
        <f t="shared" si="213"/>
        <v>41.10000000000008</v>
      </c>
      <c r="CQ107" s="16">
        <f t="shared" si="213"/>
        <v>41.10000000000008</v>
      </c>
      <c r="CR107" s="16">
        <f t="shared" si="213"/>
        <v>41.10000000000008</v>
      </c>
      <c r="CS107" s="16">
        <f t="shared" si="213"/>
        <v>41.10000000000008</v>
      </c>
      <c r="CT107" s="16">
        <f t="shared" si="213"/>
        <v>41.10000000000008</v>
      </c>
      <c r="CU107" s="16">
        <f t="shared" si="213"/>
        <v>41.10000000000008</v>
      </c>
      <c r="CV107" s="16">
        <f t="shared" si="213"/>
        <v>41.10000000000008</v>
      </c>
      <c r="CW107" s="16">
        <f t="shared" si="213"/>
        <v>54.00000000000008</v>
      </c>
      <c r="CX107" s="16">
        <f t="shared" si="213"/>
        <v>54.00000000000008</v>
      </c>
      <c r="CY107" s="16">
        <f t="shared" si="213"/>
        <v>54.00000000000008</v>
      </c>
      <c r="CZ107" s="16">
        <f t="shared" si="213"/>
        <v>54.00000000000008</v>
      </c>
      <c r="DA107" s="16">
        <f t="shared" si="213"/>
        <v>54.00000000000008</v>
      </c>
      <c r="DB107" s="16">
        <f t="shared" si="213"/>
        <v>54.00000000000008</v>
      </c>
      <c r="DC107" s="16">
        <f t="shared" si="213"/>
        <v>54.00000000000008</v>
      </c>
      <c r="DD107" s="16">
        <f t="shared" si="213"/>
        <v>54.00000000000008</v>
      </c>
      <c r="DE107" s="16">
        <f t="shared" si="213"/>
        <v>54.00000000000008</v>
      </c>
      <c r="DF107" s="16">
        <f t="shared" si="213"/>
        <v>54.00000000000008</v>
      </c>
      <c r="DG107" s="16">
        <f t="shared" si="213"/>
        <v>66.70000000000007</v>
      </c>
      <c r="DH107" s="16">
        <f t="shared" si="213"/>
        <v>66.70000000000007</v>
      </c>
      <c r="DI107" s="16">
        <f t="shared" si="213"/>
        <v>66.70000000000007</v>
      </c>
      <c r="DJ107" s="16">
        <f t="shared" si="213"/>
        <v>96.70000000000007</v>
      </c>
      <c r="DK107" s="16">
        <f t="shared" si="213"/>
        <v>96.70000000000007</v>
      </c>
      <c r="DL107" s="16">
        <f t="shared" si="213"/>
        <v>96.70000000000007</v>
      </c>
      <c r="DM107" s="16">
        <f t="shared" si="213"/>
        <v>96.70000000000007</v>
      </c>
      <c r="DN107" s="16">
        <f t="shared" si="213"/>
        <v>96.70000000000007</v>
      </c>
      <c r="DO107" s="16">
        <f t="shared" si="213"/>
        <v>96.70000000000007</v>
      </c>
      <c r="DP107" s="17">
        <f t="shared" si="213"/>
        <v>96.70000000000007</v>
      </c>
      <c r="DQ107" s="17">
        <f t="shared" si="213"/>
        <v>96.70000000000007</v>
      </c>
      <c r="DR107" s="17">
        <f t="shared" si="213"/>
        <v>96.70000000000007</v>
      </c>
      <c r="DS107" s="17">
        <f t="shared" si="213"/>
        <v>137.90000000000006</v>
      </c>
      <c r="DT107" s="17">
        <f t="shared" si="213"/>
        <v>137.90000000000006</v>
      </c>
      <c r="DU107" s="16">
        <f t="shared" si="213"/>
        <v>137.90000000000006</v>
      </c>
      <c r="DV107" s="16">
        <f t="shared" si="213"/>
        <v>125.50000000000006</v>
      </c>
      <c r="DW107" s="16">
        <f t="shared" si="213"/>
        <v>115.50000000000006</v>
      </c>
      <c r="DX107" s="16">
        <f t="shared" si="213"/>
        <v>106.40000000000006</v>
      </c>
      <c r="DY107" s="16">
        <f t="shared" si="213"/>
        <v>96.40000000000006</v>
      </c>
      <c r="DZ107" s="16">
        <f t="shared" si="213"/>
        <v>86.40000000000006</v>
      </c>
      <c r="EA107" s="16">
        <f t="shared" si="213"/>
        <v>86.40000000000006</v>
      </c>
      <c r="EB107" s="16">
        <f t="shared" si="213"/>
        <v>79.40000000000006</v>
      </c>
      <c r="EC107" s="16">
        <f t="shared" si="213"/>
        <v>72.40000000000006</v>
      </c>
      <c r="ED107" s="16">
        <f aca="true" t="shared" si="214" ref="ED107:GO107">ED106-ED105</f>
        <v>65.40000000000006</v>
      </c>
      <c r="EE107" s="16">
        <f t="shared" si="214"/>
        <v>65.40000000000006</v>
      </c>
      <c r="EF107" s="16">
        <f t="shared" si="214"/>
        <v>65.40000000000006</v>
      </c>
      <c r="EG107" s="16">
        <f t="shared" si="214"/>
        <v>65.40000000000006</v>
      </c>
      <c r="EH107" s="16">
        <f t="shared" si="214"/>
        <v>65.40000000000006</v>
      </c>
      <c r="EI107" s="16">
        <f t="shared" si="214"/>
        <v>65.40000000000006</v>
      </c>
      <c r="EJ107" s="16">
        <f t="shared" si="214"/>
        <v>65.40000000000006</v>
      </c>
      <c r="EK107" s="16">
        <f t="shared" si="214"/>
        <v>65.40000000000006</v>
      </c>
      <c r="EL107" s="16">
        <f t="shared" si="214"/>
        <v>65.40000000000006</v>
      </c>
      <c r="EM107" s="16">
        <f t="shared" si="214"/>
        <v>65.40000000000006</v>
      </c>
      <c r="EN107" s="16">
        <f t="shared" si="214"/>
        <v>109.50000000000007</v>
      </c>
      <c r="EO107" s="16">
        <f t="shared" si="214"/>
        <v>109.50000000000007</v>
      </c>
      <c r="EP107" s="16">
        <f t="shared" si="214"/>
        <v>85.70000000000007</v>
      </c>
      <c r="EQ107" s="16">
        <f t="shared" si="214"/>
        <v>85.70000000000007</v>
      </c>
      <c r="ER107" s="16">
        <f t="shared" si="214"/>
        <v>85.70000000000007</v>
      </c>
      <c r="ES107" s="16">
        <f t="shared" si="214"/>
        <v>85.70000000000007</v>
      </c>
      <c r="ET107" s="16">
        <f t="shared" si="214"/>
        <v>85.70000000000007</v>
      </c>
      <c r="EU107" s="16">
        <f t="shared" si="214"/>
        <v>85.70000000000007</v>
      </c>
      <c r="EV107" s="16">
        <f t="shared" si="214"/>
        <v>85.70000000000007</v>
      </c>
      <c r="EW107" s="16">
        <f t="shared" si="214"/>
        <v>124.40000000000006</v>
      </c>
      <c r="EX107" s="16">
        <f t="shared" si="214"/>
        <v>124.40000000000006</v>
      </c>
      <c r="EY107" s="16">
        <f t="shared" si="214"/>
        <v>124.40000000000006</v>
      </c>
      <c r="EZ107" s="16">
        <f t="shared" si="214"/>
        <v>122.30000000000007</v>
      </c>
      <c r="FA107" s="16">
        <f t="shared" si="214"/>
        <v>122.30000000000007</v>
      </c>
      <c r="FB107" s="16">
        <f t="shared" si="214"/>
        <v>122.30000000000007</v>
      </c>
      <c r="FC107" s="16">
        <f t="shared" si="214"/>
        <v>122.30000000000007</v>
      </c>
      <c r="FD107" s="16">
        <f t="shared" si="214"/>
        <v>122.30000000000007</v>
      </c>
      <c r="FE107" s="16">
        <f t="shared" si="214"/>
        <v>122.30000000000007</v>
      </c>
      <c r="FF107" s="16">
        <f t="shared" si="214"/>
        <v>122.30000000000007</v>
      </c>
      <c r="FG107" s="16">
        <f t="shared" si="214"/>
        <v>122.30000000000007</v>
      </c>
      <c r="FH107" s="16">
        <f t="shared" si="214"/>
        <v>122.30000000000007</v>
      </c>
      <c r="FI107" s="16">
        <f t="shared" si="214"/>
        <v>122.30000000000007</v>
      </c>
      <c r="FJ107" s="16">
        <f t="shared" si="214"/>
        <v>122.30000000000007</v>
      </c>
      <c r="FK107" s="16">
        <f t="shared" si="214"/>
        <v>122.30000000000007</v>
      </c>
      <c r="FL107" s="16">
        <f t="shared" si="214"/>
        <v>122.30000000000007</v>
      </c>
      <c r="FM107" s="16">
        <f t="shared" si="214"/>
        <v>122.40000000000006</v>
      </c>
      <c r="FN107" s="16">
        <f t="shared" si="214"/>
        <v>122.40000000000006</v>
      </c>
      <c r="FO107" s="16">
        <f t="shared" si="214"/>
        <v>122.40000000000006</v>
      </c>
      <c r="FP107" s="16">
        <f t="shared" si="214"/>
        <v>122.40000000000006</v>
      </c>
      <c r="FQ107" s="16">
        <f t="shared" si="214"/>
        <v>122.40000000000006</v>
      </c>
      <c r="FR107" s="16">
        <f t="shared" si="214"/>
        <v>62.40000000000006</v>
      </c>
      <c r="FS107" s="16">
        <f t="shared" si="214"/>
        <v>62.40000000000006</v>
      </c>
      <c r="FT107" s="16">
        <f t="shared" si="214"/>
        <v>62.40000000000006</v>
      </c>
      <c r="FU107" s="16">
        <f t="shared" si="214"/>
        <v>62.40000000000006</v>
      </c>
      <c r="FV107" s="16">
        <f t="shared" si="214"/>
        <v>62.40000000000006</v>
      </c>
      <c r="FW107" s="16">
        <f t="shared" si="214"/>
        <v>62.40000000000006</v>
      </c>
      <c r="FX107" s="16">
        <f t="shared" si="214"/>
        <v>62.40000000000006</v>
      </c>
      <c r="FY107" s="16">
        <f t="shared" si="214"/>
        <v>62.40000000000006</v>
      </c>
      <c r="FZ107" s="16">
        <f t="shared" si="214"/>
        <v>62.40000000000006</v>
      </c>
      <c r="GA107" s="16">
        <f t="shared" si="214"/>
        <v>62.40000000000006</v>
      </c>
      <c r="GB107" s="16">
        <f t="shared" si="214"/>
        <v>62.40000000000006</v>
      </c>
      <c r="GC107" s="16">
        <f t="shared" si="214"/>
        <v>62.40000000000006</v>
      </c>
      <c r="GD107" s="16">
        <f t="shared" si="214"/>
        <v>62.40000000000006</v>
      </c>
      <c r="GE107" s="16">
        <f t="shared" si="214"/>
        <v>62.40000000000006</v>
      </c>
      <c r="GF107" s="16">
        <f t="shared" si="214"/>
        <v>62.40000000000006</v>
      </c>
      <c r="GG107" s="16">
        <f t="shared" si="214"/>
        <v>62.40000000000006</v>
      </c>
      <c r="GH107" s="16">
        <f t="shared" si="214"/>
        <v>62.40000000000006</v>
      </c>
      <c r="GI107" s="16">
        <f t="shared" si="214"/>
        <v>62.40000000000006</v>
      </c>
      <c r="GJ107" s="16">
        <f t="shared" si="214"/>
        <v>62.40000000000006</v>
      </c>
      <c r="GK107" s="16">
        <f t="shared" si="214"/>
        <v>62.40000000000006</v>
      </c>
      <c r="GL107" s="16">
        <f t="shared" si="214"/>
        <v>62.40000000000006</v>
      </c>
      <c r="GM107" s="16">
        <f t="shared" si="214"/>
        <v>62.40000000000006</v>
      </c>
      <c r="GN107" s="16">
        <f t="shared" si="214"/>
        <v>62.40000000000006</v>
      </c>
      <c r="GO107" s="16">
        <f t="shared" si="214"/>
        <v>62.40000000000006</v>
      </c>
    </row>
    <row r="108" spans="1:256" s="25" customFormat="1" ht="15">
      <c r="A108" s="35" t="s">
        <v>257</v>
      </c>
      <c r="B108" s="35"/>
      <c r="C108" s="24" t="s">
        <v>216</v>
      </c>
      <c r="F108" s="58">
        <v>14.1</v>
      </c>
      <c r="O108" s="36">
        <v>50</v>
      </c>
      <c r="S108" s="36">
        <v>5</v>
      </c>
      <c r="T108" s="36">
        <v>5.7</v>
      </c>
      <c r="X108" s="36">
        <v>17.4</v>
      </c>
      <c r="Y108" s="36">
        <v>5.7</v>
      </c>
      <c r="AF108" s="58">
        <v>14.1</v>
      </c>
      <c r="AN108" s="36">
        <v>0.2</v>
      </c>
      <c r="AQ108" s="36">
        <v>25</v>
      </c>
      <c r="AR108" s="36">
        <v>5</v>
      </c>
      <c r="AS108" s="36">
        <v>4.8</v>
      </c>
      <c r="AT108" s="36">
        <v>10.9</v>
      </c>
      <c r="AW108" s="38">
        <v>5</v>
      </c>
      <c r="AZ108" s="38">
        <v>4.4</v>
      </c>
      <c r="BC108" s="38">
        <v>3.8</v>
      </c>
      <c r="BD108" s="38">
        <v>5</v>
      </c>
      <c r="BH108" s="36">
        <v>15.7</v>
      </c>
      <c r="BI108" s="36">
        <v>9.1</v>
      </c>
      <c r="BJ108" s="36">
        <v>4.4</v>
      </c>
      <c r="BK108" s="36">
        <v>3.7</v>
      </c>
      <c r="BL108" s="36">
        <v>4.7</v>
      </c>
      <c r="BQ108" s="36">
        <v>3.6</v>
      </c>
      <c r="BT108" s="40"/>
      <c r="BU108" s="40"/>
      <c r="BV108" s="40"/>
      <c r="BX108" s="38">
        <v>5</v>
      </c>
      <c r="BY108" s="36">
        <v>5</v>
      </c>
      <c r="BZ108" s="38">
        <v>5.2</v>
      </c>
      <c r="CC108" s="38">
        <v>7.7</v>
      </c>
      <c r="CF108" s="36">
        <v>15.7</v>
      </c>
      <c r="CP108" s="36">
        <v>35</v>
      </c>
      <c r="DF108" s="36">
        <v>15.6</v>
      </c>
      <c r="DP108" s="37"/>
      <c r="DQ108" s="37"/>
      <c r="DR108" s="37"/>
      <c r="DS108" s="37"/>
      <c r="DT108" s="37"/>
      <c r="DV108" s="38">
        <v>4.3</v>
      </c>
      <c r="DW108" s="38">
        <v>5.2</v>
      </c>
      <c r="DX108" s="38">
        <v>5</v>
      </c>
      <c r="DY108" s="38">
        <v>2.5</v>
      </c>
      <c r="DZ108" s="38">
        <v>13</v>
      </c>
      <c r="EB108" s="38">
        <v>5</v>
      </c>
      <c r="ED108" s="38">
        <v>5</v>
      </c>
      <c r="EP108" s="36">
        <v>35.2</v>
      </c>
      <c r="FF108" s="36">
        <v>15.65</v>
      </c>
      <c r="FR108" s="25">
        <v>60</v>
      </c>
      <c r="GG108" s="25">
        <v>17.8</v>
      </c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>
        <v>17.8</v>
      </c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  <c r="IL108" s="42"/>
      <c r="IM108" s="42"/>
      <c r="IN108" s="42"/>
      <c r="IO108" s="42"/>
      <c r="IP108" s="42"/>
      <c r="IQ108" s="42"/>
      <c r="IR108" s="42"/>
      <c r="IS108" s="42"/>
      <c r="IT108" s="42"/>
      <c r="IU108" s="42"/>
      <c r="IV108" s="42"/>
    </row>
    <row r="109" spans="1:215" s="42" customFormat="1" ht="15">
      <c r="A109" s="35"/>
      <c r="B109" s="35"/>
      <c r="C109" s="24" t="s">
        <v>217</v>
      </c>
      <c r="D109" s="25">
        <v>165</v>
      </c>
      <c r="E109" s="25">
        <f>D110</f>
        <v>165</v>
      </c>
      <c r="F109" s="58">
        <f>E110+14.1</f>
        <v>179.1</v>
      </c>
      <c r="G109" s="25">
        <f aca="true" t="shared" si="215" ref="G109:BQ109">F110</f>
        <v>165</v>
      </c>
      <c r="H109" s="25">
        <f t="shared" si="215"/>
        <v>165</v>
      </c>
      <c r="I109" s="25">
        <f t="shared" si="215"/>
        <v>165</v>
      </c>
      <c r="J109" s="25">
        <f t="shared" si="215"/>
        <v>165</v>
      </c>
      <c r="K109" s="25">
        <f t="shared" si="215"/>
        <v>165</v>
      </c>
      <c r="L109" s="25">
        <f t="shared" si="215"/>
        <v>165</v>
      </c>
      <c r="M109" s="25">
        <f t="shared" si="215"/>
        <v>165</v>
      </c>
      <c r="N109" s="25">
        <f t="shared" si="215"/>
        <v>165</v>
      </c>
      <c r="O109" s="37">
        <f t="shared" si="215"/>
        <v>165</v>
      </c>
      <c r="P109" s="25">
        <f t="shared" si="215"/>
        <v>115</v>
      </c>
      <c r="Q109" s="25">
        <f t="shared" si="215"/>
        <v>115</v>
      </c>
      <c r="R109" s="25">
        <f t="shared" si="215"/>
        <v>115</v>
      </c>
      <c r="S109" s="25">
        <f t="shared" si="215"/>
        <v>115</v>
      </c>
      <c r="T109" s="25">
        <f t="shared" si="215"/>
        <v>110</v>
      </c>
      <c r="U109" s="25">
        <f t="shared" si="215"/>
        <v>104.3</v>
      </c>
      <c r="V109" s="25">
        <f t="shared" si="215"/>
        <v>104.3</v>
      </c>
      <c r="W109" s="25">
        <f t="shared" si="215"/>
        <v>104.3</v>
      </c>
      <c r="X109" s="37">
        <f t="shared" si="215"/>
        <v>104.3</v>
      </c>
      <c r="Y109" s="25">
        <f t="shared" si="215"/>
        <v>86.9</v>
      </c>
      <c r="Z109" s="25">
        <f t="shared" si="215"/>
        <v>81.2</v>
      </c>
      <c r="AA109" s="25">
        <f>Z110+15.2+3.6+4.4+0.2+10.1</f>
        <v>114.7</v>
      </c>
      <c r="AB109" s="25">
        <f t="shared" si="215"/>
        <v>114.7</v>
      </c>
      <c r="AC109" s="25">
        <f t="shared" si="215"/>
        <v>114.7</v>
      </c>
      <c r="AD109" s="25">
        <f t="shared" si="215"/>
        <v>114.7</v>
      </c>
      <c r="AE109" s="25">
        <f>AD110+14.1</f>
        <v>128.8</v>
      </c>
      <c r="AF109" s="25">
        <f t="shared" si="215"/>
        <v>128.8</v>
      </c>
      <c r="AG109" s="25">
        <f t="shared" si="215"/>
        <v>114.70000000000002</v>
      </c>
      <c r="AH109" s="25">
        <f t="shared" si="215"/>
        <v>114.70000000000002</v>
      </c>
      <c r="AI109" s="25">
        <f t="shared" si="215"/>
        <v>114.70000000000002</v>
      </c>
      <c r="AJ109" s="25">
        <f t="shared" si="215"/>
        <v>114.70000000000002</v>
      </c>
      <c r="AK109" s="25">
        <f t="shared" si="215"/>
        <v>114.70000000000002</v>
      </c>
      <c r="AL109" s="25">
        <f t="shared" si="215"/>
        <v>114.70000000000002</v>
      </c>
      <c r="AM109" s="25">
        <f t="shared" si="215"/>
        <v>114.70000000000002</v>
      </c>
      <c r="AN109" s="25">
        <f t="shared" si="215"/>
        <v>114.70000000000002</v>
      </c>
      <c r="AO109" s="25">
        <f t="shared" si="215"/>
        <v>114.50000000000001</v>
      </c>
      <c r="AP109" s="25">
        <f t="shared" si="215"/>
        <v>114.50000000000001</v>
      </c>
      <c r="AQ109" s="25">
        <f t="shared" si="215"/>
        <v>114.50000000000001</v>
      </c>
      <c r="AR109" s="25">
        <f t="shared" si="215"/>
        <v>89.50000000000001</v>
      </c>
      <c r="AS109" s="25">
        <f t="shared" si="215"/>
        <v>84.50000000000001</v>
      </c>
      <c r="AT109" s="25">
        <f t="shared" si="215"/>
        <v>79.70000000000002</v>
      </c>
      <c r="AU109" s="25">
        <f t="shared" si="215"/>
        <v>68.80000000000001</v>
      </c>
      <c r="AV109" s="25">
        <f t="shared" si="215"/>
        <v>68.80000000000001</v>
      </c>
      <c r="AW109" s="25">
        <f t="shared" si="215"/>
        <v>68.80000000000001</v>
      </c>
      <c r="AX109" s="25">
        <f t="shared" si="215"/>
        <v>63.80000000000001</v>
      </c>
      <c r="AY109" s="25">
        <f t="shared" si="215"/>
        <v>63.80000000000001</v>
      </c>
      <c r="AZ109" s="25">
        <f t="shared" si="215"/>
        <v>63.80000000000001</v>
      </c>
      <c r="BA109" s="25">
        <f t="shared" si="215"/>
        <v>59.40000000000001</v>
      </c>
      <c r="BB109" s="25">
        <f>BA110+14.5+3.2+4.1+0.2+9.5</f>
        <v>90.9</v>
      </c>
      <c r="BC109" s="25">
        <f t="shared" si="215"/>
        <v>90.9</v>
      </c>
      <c r="BD109" s="25">
        <f t="shared" si="215"/>
        <v>87.10000000000001</v>
      </c>
      <c r="BE109" s="25">
        <f t="shared" si="215"/>
        <v>82.10000000000001</v>
      </c>
      <c r="BF109" s="36">
        <f>BE110+15.7</f>
        <v>97.80000000000001</v>
      </c>
      <c r="BG109" s="25">
        <f t="shared" si="215"/>
        <v>97.80000000000001</v>
      </c>
      <c r="BH109" s="25">
        <f t="shared" si="215"/>
        <v>97.80000000000001</v>
      </c>
      <c r="BI109" s="25">
        <f t="shared" si="215"/>
        <v>82.10000000000001</v>
      </c>
      <c r="BJ109" s="25">
        <f t="shared" si="215"/>
        <v>73.00000000000001</v>
      </c>
      <c r="BK109" s="25">
        <f t="shared" si="215"/>
        <v>68.60000000000001</v>
      </c>
      <c r="BL109" s="25">
        <f t="shared" si="215"/>
        <v>64.9</v>
      </c>
      <c r="BM109" s="25">
        <f t="shared" si="215"/>
        <v>60.2</v>
      </c>
      <c r="BN109" s="25">
        <f t="shared" si="215"/>
        <v>60.2</v>
      </c>
      <c r="BO109" s="25">
        <f t="shared" si="215"/>
        <v>60.2</v>
      </c>
      <c r="BP109" s="25">
        <f t="shared" si="215"/>
        <v>60.2</v>
      </c>
      <c r="BQ109" s="25">
        <f t="shared" si="215"/>
        <v>60.2</v>
      </c>
      <c r="BR109" s="25">
        <f aca="true" t="shared" si="216" ref="BR109:EC109">BQ110</f>
        <v>56.6</v>
      </c>
      <c r="BS109" s="25">
        <f t="shared" si="216"/>
        <v>56.6</v>
      </c>
      <c r="BT109" s="40">
        <f t="shared" si="216"/>
        <v>56.6</v>
      </c>
      <c r="BU109" s="40">
        <f t="shared" si="216"/>
        <v>56.6</v>
      </c>
      <c r="BV109" s="40">
        <f t="shared" si="216"/>
        <v>56.6</v>
      </c>
      <c r="BW109" s="25">
        <f t="shared" si="216"/>
        <v>56.6</v>
      </c>
      <c r="BX109" s="25">
        <f t="shared" si="216"/>
        <v>56.6</v>
      </c>
      <c r="BY109" s="25">
        <f t="shared" si="216"/>
        <v>51.6</v>
      </c>
      <c r="BZ109" s="25">
        <f t="shared" si="216"/>
        <v>46.6</v>
      </c>
      <c r="CA109" s="25">
        <f>BZ110+14.2+3.5+4.1+0.2+9.9</f>
        <v>73.3</v>
      </c>
      <c r="CB109" s="25">
        <f t="shared" si="216"/>
        <v>73.3</v>
      </c>
      <c r="CC109" s="25">
        <f t="shared" si="216"/>
        <v>73.3</v>
      </c>
      <c r="CD109" s="25">
        <f t="shared" si="216"/>
        <v>65.6</v>
      </c>
      <c r="CE109" s="25">
        <f t="shared" si="216"/>
        <v>65.6</v>
      </c>
      <c r="CF109" s="36">
        <f>CE110+15.7</f>
        <v>81.3</v>
      </c>
      <c r="CG109" s="25">
        <f t="shared" si="216"/>
        <v>65.6</v>
      </c>
      <c r="CH109" s="25">
        <f t="shared" si="216"/>
        <v>65.6</v>
      </c>
      <c r="CI109" s="25">
        <f t="shared" si="216"/>
        <v>65.6</v>
      </c>
      <c r="CJ109" s="25">
        <f t="shared" si="216"/>
        <v>65.6</v>
      </c>
      <c r="CK109" s="25">
        <f t="shared" si="216"/>
        <v>65.6</v>
      </c>
      <c r="CL109" s="25">
        <f t="shared" si="216"/>
        <v>65.6</v>
      </c>
      <c r="CM109" s="25">
        <f t="shared" si="216"/>
        <v>65.6</v>
      </c>
      <c r="CN109" s="25">
        <f t="shared" si="216"/>
        <v>65.6</v>
      </c>
      <c r="CO109" s="25">
        <f t="shared" si="216"/>
        <v>65.6</v>
      </c>
      <c r="CP109" s="25">
        <f t="shared" si="216"/>
        <v>65.6</v>
      </c>
      <c r="CQ109" s="25">
        <f t="shared" si="216"/>
        <v>30.599999999999994</v>
      </c>
      <c r="CR109" s="25">
        <f t="shared" si="216"/>
        <v>30.599999999999994</v>
      </c>
      <c r="CS109" s="25">
        <f t="shared" si="216"/>
        <v>30.599999999999994</v>
      </c>
      <c r="CT109" s="25">
        <f t="shared" si="216"/>
        <v>30.599999999999994</v>
      </c>
      <c r="CU109" s="25">
        <f t="shared" si="216"/>
        <v>30.599999999999994</v>
      </c>
      <c r="CV109" s="25">
        <f t="shared" si="216"/>
        <v>30.599999999999994</v>
      </c>
      <c r="CW109" s="25">
        <f>CV110+10.9</f>
        <v>41.49999999999999</v>
      </c>
      <c r="CX109" s="25">
        <f t="shared" si="216"/>
        <v>41.49999999999999</v>
      </c>
      <c r="CY109" s="25">
        <f t="shared" si="216"/>
        <v>41.49999999999999</v>
      </c>
      <c r="CZ109" s="25">
        <f t="shared" si="216"/>
        <v>41.49999999999999</v>
      </c>
      <c r="DA109" s="25">
        <f t="shared" si="216"/>
        <v>41.49999999999999</v>
      </c>
      <c r="DB109" s="25">
        <f t="shared" si="216"/>
        <v>41.49999999999999</v>
      </c>
      <c r="DC109" s="25">
        <f t="shared" si="216"/>
        <v>41.49999999999999</v>
      </c>
      <c r="DD109" s="25">
        <f t="shared" si="216"/>
        <v>41.49999999999999</v>
      </c>
      <c r="DE109" s="25">
        <f t="shared" si="216"/>
        <v>41.49999999999999</v>
      </c>
      <c r="DF109" s="36">
        <f>DE110+15.6</f>
        <v>57.099999999999994</v>
      </c>
      <c r="DG109" s="25">
        <f t="shared" si="216"/>
        <v>41.49999999999999</v>
      </c>
      <c r="DH109" s="25">
        <f t="shared" si="216"/>
        <v>41.49999999999999</v>
      </c>
      <c r="DI109" s="25">
        <f t="shared" si="216"/>
        <v>41.49999999999999</v>
      </c>
      <c r="DJ109" s="25">
        <f>DI110+0.2+16.1+3.9+4.6</f>
        <v>66.3</v>
      </c>
      <c r="DK109" s="25">
        <f t="shared" si="216"/>
        <v>66.3</v>
      </c>
      <c r="DL109" s="25">
        <f t="shared" si="216"/>
        <v>66.3</v>
      </c>
      <c r="DM109" s="25">
        <f t="shared" si="216"/>
        <v>66.3</v>
      </c>
      <c r="DN109" s="25">
        <f t="shared" si="216"/>
        <v>66.3</v>
      </c>
      <c r="DO109" s="25">
        <f t="shared" si="216"/>
        <v>66.3</v>
      </c>
      <c r="DP109" s="37">
        <f t="shared" si="216"/>
        <v>66.3</v>
      </c>
      <c r="DQ109" s="37">
        <f t="shared" si="216"/>
        <v>66.3</v>
      </c>
      <c r="DR109" s="37">
        <f t="shared" si="216"/>
        <v>66.3</v>
      </c>
      <c r="DS109" s="37">
        <f>DR110+10.6+4.5+3.7+15.7+0.2</f>
        <v>101</v>
      </c>
      <c r="DT109" s="37">
        <f t="shared" si="216"/>
        <v>101</v>
      </c>
      <c r="DU109" s="25">
        <f t="shared" si="216"/>
        <v>101</v>
      </c>
      <c r="DV109" s="25">
        <f t="shared" si="216"/>
        <v>101</v>
      </c>
      <c r="DW109" s="25">
        <f t="shared" si="216"/>
        <v>96.7</v>
      </c>
      <c r="DX109" s="25">
        <f t="shared" si="216"/>
        <v>91.5</v>
      </c>
      <c r="DY109" s="25">
        <f t="shared" si="216"/>
        <v>86.5</v>
      </c>
      <c r="DZ109" s="36">
        <f>DY110+26</f>
        <v>110</v>
      </c>
      <c r="EA109" s="25">
        <f t="shared" si="216"/>
        <v>97</v>
      </c>
      <c r="EB109" s="25">
        <f t="shared" si="216"/>
        <v>97</v>
      </c>
      <c r="EC109" s="25">
        <f t="shared" si="216"/>
        <v>92</v>
      </c>
      <c r="ED109" s="25">
        <f>EC110</f>
        <v>92</v>
      </c>
      <c r="EE109" s="25">
        <f aca="true" t="shared" si="217" ref="EE109:GN109">ED110</f>
        <v>87</v>
      </c>
      <c r="EF109" s="25">
        <f t="shared" si="217"/>
        <v>87</v>
      </c>
      <c r="EG109" s="25">
        <f t="shared" si="217"/>
        <v>87</v>
      </c>
      <c r="EH109" s="25">
        <f t="shared" si="217"/>
        <v>87</v>
      </c>
      <c r="EI109" s="25">
        <f t="shared" si="217"/>
        <v>87</v>
      </c>
      <c r="EJ109" s="25">
        <f t="shared" si="217"/>
        <v>87</v>
      </c>
      <c r="EK109" s="25">
        <f t="shared" si="217"/>
        <v>87</v>
      </c>
      <c r="EL109" s="25">
        <f t="shared" si="217"/>
        <v>87</v>
      </c>
      <c r="EM109" s="25">
        <f t="shared" si="217"/>
        <v>87</v>
      </c>
      <c r="EN109" s="25">
        <f>EM110+53.5</f>
        <v>140.5</v>
      </c>
      <c r="EO109" s="25">
        <f t="shared" si="217"/>
        <v>140.5</v>
      </c>
      <c r="EP109" s="25">
        <f t="shared" si="217"/>
        <v>140.5</v>
      </c>
      <c r="EQ109" s="25">
        <f t="shared" si="217"/>
        <v>105.3</v>
      </c>
      <c r="ER109" s="25">
        <f>EQ110</f>
        <v>105.3</v>
      </c>
      <c r="ES109" s="25">
        <f>ER110</f>
        <v>105.3</v>
      </c>
      <c r="ET109" s="25">
        <f>ES110</f>
        <v>105.3</v>
      </c>
      <c r="EU109" s="25">
        <f t="shared" si="217"/>
        <v>105.3</v>
      </c>
      <c r="EV109" s="25">
        <f t="shared" si="217"/>
        <v>105.3</v>
      </c>
      <c r="EW109" s="25">
        <f>EV110+10.5+0.3+4.7+4+16.3+0.2</f>
        <v>141.29999999999998</v>
      </c>
      <c r="EX109" s="25">
        <f t="shared" si="217"/>
        <v>141.29999999999998</v>
      </c>
      <c r="EY109" s="25">
        <f t="shared" si="217"/>
        <v>141.29999999999998</v>
      </c>
      <c r="EZ109" s="25">
        <f t="shared" si="217"/>
        <v>141.29999999999998</v>
      </c>
      <c r="FA109" s="25">
        <f t="shared" si="217"/>
        <v>141.29999999999998</v>
      </c>
      <c r="FB109" s="25">
        <f t="shared" si="217"/>
        <v>141.29999999999998</v>
      </c>
      <c r="FC109" s="25">
        <f t="shared" si="217"/>
        <v>141.29999999999998</v>
      </c>
      <c r="FD109" s="25">
        <f t="shared" si="217"/>
        <v>141.29999999999998</v>
      </c>
      <c r="FE109" s="25">
        <f t="shared" si="217"/>
        <v>141.29999999999998</v>
      </c>
      <c r="FF109" s="25">
        <f>FE110+17.8</f>
        <v>159.1</v>
      </c>
      <c r="FG109" s="25">
        <f t="shared" si="217"/>
        <v>143.45</v>
      </c>
      <c r="FH109" s="25">
        <f t="shared" si="217"/>
        <v>143.45</v>
      </c>
      <c r="FI109" s="25">
        <f t="shared" si="217"/>
        <v>143.45</v>
      </c>
      <c r="FJ109" s="25">
        <f t="shared" si="217"/>
        <v>143.45</v>
      </c>
      <c r="FK109" s="25">
        <f t="shared" si="217"/>
        <v>143.45</v>
      </c>
      <c r="FL109" s="25">
        <f t="shared" si="217"/>
        <v>143.45</v>
      </c>
      <c r="FM109" s="25">
        <f t="shared" si="217"/>
        <v>143.45</v>
      </c>
      <c r="FN109" s="25">
        <f t="shared" si="217"/>
        <v>143.45</v>
      </c>
      <c r="FO109" s="25">
        <f t="shared" si="217"/>
        <v>143.45</v>
      </c>
      <c r="FP109" s="25">
        <f t="shared" si="217"/>
        <v>143.45</v>
      </c>
      <c r="FQ109" s="25">
        <f t="shared" si="217"/>
        <v>143.45</v>
      </c>
      <c r="FR109" s="25">
        <f t="shared" si="217"/>
        <v>143.45</v>
      </c>
      <c r="FS109" s="25">
        <f t="shared" si="217"/>
        <v>83.44999999999999</v>
      </c>
      <c r="FT109" s="25">
        <f t="shared" si="217"/>
        <v>83.44999999999999</v>
      </c>
      <c r="FU109" s="25">
        <f t="shared" si="217"/>
        <v>83.44999999999999</v>
      </c>
      <c r="FV109" s="25">
        <f t="shared" si="217"/>
        <v>83.44999999999999</v>
      </c>
      <c r="FW109" s="25">
        <f t="shared" si="217"/>
        <v>83.44999999999999</v>
      </c>
      <c r="FX109" s="25">
        <f t="shared" si="217"/>
        <v>83.44999999999999</v>
      </c>
      <c r="FY109" s="25">
        <f t="shared" si="217"/>
        <v>83.44999999999999</v>
      </c>
      <c r="FZ109" s="25">
        <f t="shared" si="217"/>
        <v>83.44999999999999</v>
      </c>
      <c r="GA109" s="25">
        <f t="shared" si="217"/>
        <v>83.44999999999999</v>
      </c>
      <c r="GB109" s="25">
        <f t="shared" si="217"/>
        <v>83.44999999999999</v>
      </c>
      <c r="GC109" s="25">
        <f t="shared" si="217"/>
        <v>83.44999999999999</v>
      </c>
      <c r="GD109" s="25">
        <f t="shared" si="217"/>
        <v>83.44999999999999</v>
      </c>
      <c r="GE109" s="25">
        <f t="shared" si="217"/>
        <v>83.44999999999999</v>
      </c>
      <c r="GF109" s="25">
        <f t="shared" si="217"/>
        <v>83.44999999999999</v>
      </c>
      <c r="GG109" s="25">
        <f>GF110+17.8</f>
        <v>101.24999999999999</v>
      </c>
      <c r="GH109" s="25">
        <f t="shared" si="217"/>
        <v>83.44999999999999</v>
      </c>
      <c r="GI109" s="25">
        <f t="shared" si="217"/>
        <v>83.44999999999999</v>
      </c>
      <c r="GJ109" s="25">
        <f t="shared" si="217"/>
        <v>83.44999999999999</v>
      </c>
      <c r="GK109" s="25">
        <f t="shared" si="217"/>
        <v>83.44999999999999</v>
      </c>
      <c r="GL109" s="25">
        <f t="shared" si="217"/>
        <v>83.44999999999999</v>
      </c>
      <c r="GM109" s="25">
        <f t="shared" si="217"/>
        <v>83.44999999999999</v>
      </c>
      <c r="GN109" s="25">
        <f t="shared" si="217"/>
        <v>83.44999999999999</v>
      </c>
      <c r="GO109" s="25">
        <f>GN110+13+13</f>
        <v>109.44999999999999</v>
      </c>
      <c r="GP109" s="25">
        <f aca="true" t="shared" si="218" ref="GP109:HF109">GO110</f>
        <v>109.44999999999999</v>
      </c>
      <c r="GQ109" s="25">
        <f t="shared" si="218"/>
        <v>109.44999999999999</v>
      </c>
      <c r="GR109" s="25">
        <f t="shared" si="218"/>
        <v>109.44999999999999</v>
      </c>
      <c r="GS109" s="25">
        <f t="shared" si="218"/>
        <v>109.44999999999999</v>
      </c>
      <c r="GT109" s="25">
        <f t="shared" si="218"/>
        <v>109.44999999999999</v>
      </c>
      <c r="GU109" s="25">
        <f t="shared" si="218"/>
        <v>109.44999999999999</v>
      </c>
      <c r="GV109" s="25">
        <f t="shared" si="218"/>
        <v>109.44999999999999</v>
      </c>
      <c r="GW109" s="25">
        <f t="shared" si="218"/>
        <v>109.44999999999999</v>
      </c>
      <c r="GX109" s="25">
        <f t="shared" si="218"/>
        <v>109.44999999999999</v>
      </c>
      <c r="GY109" s="25">
        <f t="shared" si="218"/>
        <v>109.44999999999999</v>
      </c>
      <c r="GZ109" s="25">
        <f t="shared" si="218"/>
        <v>109.44999999999999</v>
      </c>
      <c r="HA109" s="25">
        <f t="shared" si="218"/>
        <v>109.44999999999999</v>
      </c>
      <c r="HB109" s="25">
        <f t="shared" si="218"/>
        <v>109.44999999999999</v>
      </c>
      <c r="HC109" s="25">
        <f t="shared" si="218"/>
        <v>109.44999999999999</v>
      </c>
      <c r="HD109" s="25">
        <f t="shared" si="218"/>
        <v>109.44999999999999</v>
      </c>
      <c r="HE109" s="25">
        <f t="shared" si="218"/>
        <v>109.44999999999999</v>
      </c>
      <c r="HF109" s="25">
        <f t="shared" si="218"/>
        <v>109.44999999999999</v>
      </c>
      <c r="HG109" s="25">
        <f>HF110+17.8</f>
        <v>127.24999999999999</v>
      </c>
    </row>
    <row r="110" spans="1:215" s="42" customFormat="1" ht="15">
      <c r="A110" s="35"/>
      <c r="B110" s="35"/>
      <c r="C110" s="24" t="s">
        <v>218</v>
      </c>
      <c r="D110" s="43">
        <f>D109-D108</f>
        <v>165</v>
      </c>
      <c r="E110" s="43">
        <f>E109-E108</f>
        <v>165</v>
      </c>
      <c r="F110" s="43">
        <f aca="true" t="shared" si="219" ref="F110:BQ110">F109-F108</f>
        <v>165</v>
      </c>
      <c r="G110" s="43">
        <f t="shared" si="219"/>
        <v>165</v>
      </c>
      <c r="H110" s="43">
        <f t="shared" si="219"/>
        <v>165</v>
      </c>
      <c r="I110" s="43">
        <f t="shared" si="219"/>
        <v>165</v>
      </c>
      <c r="J110" s="43">
        <f t="shared" si="219"/>
        <v>165</v>
      </c>
      <c r="K110" s="43">
        <f t="shared" si="219"/>
        <v>165</v>
      </c>
      <c r="L110" s="43">
        <f t="shared" si="219"/>
        <v>165</v>
      </c>
      <c r="M110" s="43">
        <f t="shared" si="219"/>
        <v>165</v>
      </c>
      <c r="N110" s="43">
        <f t="shared" si="219"/>
        <v>165</v>
      </c>
      <c r="O110" s="44">
        <f t="shared" si="219"/>
        <v>115</v>
      </c>
      <c r="P110" s="43">
        <f t="shared" si="219"/>
        <v>115</v>
      </c>
      <c r="Q110" s="43">
        <f t="shared" si="219"/>
        <v>115</v>
      </c>
      <c r="R110" s="43">
        <f t="shared" si="219"/>
        <v>115</v>
      </c>
      <c r="S110" s="43">
        <f t="shared" si="219"/>
        <v>110</v>
      </c>
      <c r="T110" s="43">
        <f t="shared" si="219"/>
        <v>104.3</v>
      </c>
      <c r="U110" s="43">
        <f t="shared" si="219"/>
        <v>104.3</v>
      </c>
      <c r="V110" s="43">
        <f t="shared" si="219"/>
        <v>104.3</v>
      </c>
      <c r="W110" s="43">
        <f t="shared" si="219"/>
        <v>104.3</v>
      </c>
      <c r="X110" s="44">
        <f t="shared" si="219"/>
        <v>86.9</v>
      </c>
      <c r="Y110" s="43">
        <f t="shared" si="219"/>
        <v>81.2</v>
      </c>
      <c r="Z110" s="43">
        <f t="shared" si="219"/>
        <v>81.2</v>
      </c>
      <c r="AA110" s="43">
        <f t="shared" si="219"/>
        <v>114.7</v>
      </c>
      <c r="AB110" s="43">
        <f t="shared" si="219"/>
        <v>114.7</v>
      </c>
      <c r="AC110" s="43">
        <f t="shared" si="219"/>
        <v>114.7</v>
      </c>
      <c r="AD110" s="43">
        <f t="shared" si="219"/>
        <v>114.7</v>
      </c>
      <c r="AE110" s="43">
        <f t="shared" si="219"/>
        <v>128.8</v>
      </c>
      <c r="AF110" s="43">
        <f t="shared" si="219"/>
        <v>114.70000000000002</v>
      </c>
      <c r="AG110" s="43">
        <f t="shared" si="219"/>
        <v>114.70000000000002</v>
      </c>
      <c r="AH110" s="43">
        <f t="shared" si="219"/>
        <v>114.70000000000002</v>
      </c>
      <c r="AI110" s="43">
        <f t="shared" si="219"/>
        <v>114.70000000000002</v>
      </c>
      <c r="AJ110" s="43">
        <f t="shared" si="219"/>
        <v>114.70000000000002</v>
      </c>
      <c r="AK110" s="43">
        <f t="shared" si="219"/>
        <v>114.70000000000002</v>
      </c>
      <c r="AL110" s="43">
        <f t="shared" si="219"/>
        <v>114.70000000000002</v>
      </c>
      <c r="AM110" s="43">
        <f t="shared" si="219"/>
        <v>114.70000000000002</v>
      </c>
      <c r="AN110" s="43">
        <f t="shared" si="219"/>
        <v>114.50000000000001</v>
      </c>
      <c r="AO110" s="43">
        <f t="shared" si="219"/>
        <v>114.50000000000001</v>
      </c>
      <c r="AP110" s="43">
        <f t="shared" si="219"/>
        <v>114.50000000000001</v>
      </c>
      <c r="AQ110" s="43">
        <f t="shared" si="219"/>
        <v>89.50000000000001</v>
      </c>
      <c r="AR110" s="43">
        <f t="shared" si="219"/>
        <v>84.50000000000001</v>
      </c>
      <c r="AS110" s="43">
        <f t="shared" si="219"/>
        <v>79.70000000000002</v>
      </c>
      <c r="AT110" s="43">
        <f t="shared" si="219"/>
        <v>68.80000000000001</v>
      </c>
      <c r="AU110" s="43">
        <f t="shared" si="219"/>
        <v>68.80000000000001</v>
      </c>
      <c r="AV110" s="43">
        <f t="shared" si="219"/>
        <v>68.80000000000001</v>
      </c>
      <c r="AW110" s="43">
        <f t="shared" si="219"/>
        <v>63.80000000000001</v>
      </c>
      <c r="AX110" s="43">
        <f t="shared" si="219"/>
        <v>63.80000000000001</v>
      </c>
      <c r="AY110" s="43">
        <f t="shared" si="219"/>
        <v>63.80000000000001</v>
      </c>
      <c r="AZ110" s="43">
        <f t="shared" si="219"/>
        <v>59.40000000000001</v>
      </c>
      <c r="BA110" s="43">
        <f t="shared" si="219"/>
        <v>59.40000000000001</v>
      </c>
      <c r="BB110" s="43">
        <f t="shared" si="219"/>
        <v>90.9</v>
      </c>
      <c r="BC110" s="43">
        <f t="shared" si="219"/>
        <v>87.10000000000001</v>
      </c>
      <c r="BD110" s="43">
        <f t="shared" si="219"/>
        <v>82.10000000000001</v>
      </c>
      <c r="BE110" s="43">
        <f t="shared" si="219"/>
        <v>82.10000000000001</v>
      </c>
      <c r="BF110" s="43">
        <f t="shared" si="219"/>
        <v>97.80000000000001</v>
      </c>
      <c r="BG110" s="43">
        <f t="shared" si="219"/>
        <v>97.80000000000001</v>
      </c>
      <c r="BH110" s="43">
        <f t="shared" si="219"/>
        <v>82.10000000000001</v>
      </c>
      <c r="BI110" s="43">
        <f t="shared" si="219"/>
        <v>73.00000000000001</v>
      </c>
      <c r="BJ110" s="43">
        <f t="shared" si="219"/>
        <v>68.60000000000001</v>
      </c>
      <c r="BK110" s="43">
        <f t="shared" si="219"/>
        <v>64.9</v>
      </c>
      <c r="BL110" s="43">
        <f t="shared" si="219"/>
        <v>60.2</v>
      </c>
      <c r="BM110" s="43">
        <f t="shared" si="219"/>
        <v>60.2</v>
      </c>
      <c r="BN110" s="43">
        <f t="shared" si="219"/>
        <v>60.2</v>
      </c>
      <c r="BO110" s="43">
        <f t="shared" si="219"/>
        <v>60.2</v>
      </c>
      <c r="BP110" s="43">
        <f t="shared" si="219"/>
        <v>60.2</v>
      </c>
      <c r="BQ110" s="43">
        <f t="shared" si="219"/>
        <v>56.6</v>
      </c>
      <c r="BR110" s="43">
        <f aca="true" t="shared" si="220" ref="BR110:EC110">BR109-BR108</f>
        <v>56.6</v>
      </c>
      <c r="BS110" s="43">
        <f t="shared" si="220"/>
        <v>56.6</v>
      </c>
      <c r="BT110" s="45">
        <f t="shared" si="220"/>
        <v>56.6</v>
      </c>
      <c r="BU110" s="45">
        <f t="shared" si="220"/>
        <v>56.6</v>
      </c>
      <c r="BV110" s="45">
        <f t="shared" si="220"/>
        <v>56.6</v>
      </c>
      <c r="BW110" s="43">
        <f t="shared" si="220"/>
        <v>56.6</v>
      </c>
      <c r="BX110" s="43">
        <f t="shared" si="220"/>
        <v>51.6</v>
      </c>
      <c r="BY110" s="43">
        <f t="shared" si="220"/>
        <v>46.6</v>
      </c>
      <c r="BZ110" s="43">
        <f t="shared" si="220"/>
        <v>41.4</v>
      </c>
      <c r="CA110" s="43">
        <f t="shared" si="220"/>
        <v>73.3</v>
      </c>
      <c r="CB110" s="43">
        <f t="shared" si="220"/>
        <v>73.3</v>
      </c>
      <c r="CC110" s="43">
        <f t="shared" si="220"/>
        <v>65.6</v>
      </c>
      <c r="CD110" s="43">
        <f t="shared" si="220"/>
        <v>65.6</v>
      </c>
      <c r="CE110" s="43">
        <f t="shared" si="220"/>
        <v>65.6</v>
      </c>
      <c r="CF110" s="43">
        <f t="shared" si="220"/>
        <v>65.6</v>
      </c>
      <c r="CG110" s="43">
        <f t="shared" si="220"/>
        <v>65.6</v>
      </c>
      <c r="CH110" s="43">
        <f t="shared" si="220"/>
        <v>65.6</v>
      </c>
      <c r="CI110" s="43">
        <f t="shared" si="220"/>
        <v>65.6</v>
      </c>
      <c r="CJ110" s="43">
        <f t="shared" si="220"/>
        <v>65.6</v>
      </c>
      <c r="CK110" s="43">
        <f t="shared" si="220"/>
        <v>65.6</v>
      </c>
      <c r="CL110" s="43">
        <f t="shared" si="220"/>
        <v>65.6</v>
      </c>
      <c r="CM110" s="43">
        <f t="shared" si="220"/>
        <v>65.6</v>
      </c>
      <c r="CN110" s="43">
        <f t="shared" si="220"/>
        <v>65.6</v>
      </c>
      <c r="CO110" s="43">
        <f t="shared" si="220"/>
        <v>65.6</v>
      </c>
      <c r="CP110" s="43">
        <f t="shared" si="220"/>
        <v>30.599999999999994</v>
      </c>
      <c r="CQ110" s="43">
        <f t="shared" si="220"/>
        <v>30.599999999999994</v>
      </c>
      <c r="CR110" s="43">
        <f t="shared" si="220"/>
        <v>30.599999999999994</v>
      </c>
      <c r="CS110" s="43">
        <f t="shared" si="220"/>
        <v>30.599999999999994</v>
      </c>
      <c r="CT110" s="43">
        <f t="shared" si="220"/>
        <v>30.599999999999994</v>
      </c>
      <c r="CU110" s="43">
        <f t="shared" si="220"/>
        <v>30.599999999999994</v>
      </c>
      <c r="CV110" s="43">
        <f t="shared" si="220"/>
        <v>30.599999999999994</v>
      </c>
      <c r="CW110" s="43">
        <f t="shared" si="220"/>
        <v>41.49999999999999</v>
      </c>
      <c r="CX110" s="43">
        <f t="shared" si="220"/>
        <v>41.49999999999999</v>
      </c>
      <c r="CY110" s="43">
        <f t="shared" si="220"/>
        <v>41.49999999999999</v>
      </c>
      <c r="CZ110" s="43">
        <f t="shared" si="220"/>
        <v>41.49999999999999</v>
      </c>
      <c r="DA110" s="43">
        <f t="shared" si="220"/>
        <v>41.49999999999999</v>
      </c>
      <c r="DB110" s="43">
        <f t="shared" si="220"/>
        <v>41.49999999999999</v>
      </c>
      <c r="DC110" s="43">
        <f t="shared" si="220"/>
        <v>41.49999999999999</v>
      </c>
      <c r="DD110" s="43">
        <f t="shared" si="220"/>
        <v>41.49999999999999</v>
      </c>
      <c r="DE110" s="43">
        <f t="shared" si="220"/>
        <v>41.49999999999999</v>
      </c>
      <c r="DF110" s="43">
        <f t="shared" si="220"/>
        <v>41.49999999999999</v>
      </c>
      <c r="DG110" s="43">
        <f t="shared" si="220"/>
        <v>41.49999999999999</v>
      </c>
      <c r="DH110" s="43">
        <f t="shared" si="220"/>
        <v>41.49999999999999</v>
      </c>
      <c r="DI110" s="43">
        <f t="shared" si="220"/>
        <v>41.49999999999999</v>
      </c>
      <c r="DJ110" s="43">
        <f t="shared" si="220"/>
        <v>66.3</v>
      </c>
      <c r="DK110" s="43">
        <f t="shared" si="220"/>
        <v>66.3</v>
      </c>
      <c r="DL110" s="43">
        <f t="shared" si="220"/>
        <v>66.3</v>
      </c>
      <c r="DM110" s="43">
        <f t="shared" si="220"/>
        <v>66.3</v>
      </c>
      <c r="DN110" s="43">
        <f t="shared" si="220"/>
        <v>66.3</v>
      </c>
      <c r="DO110" s="43">
        <f t="shared" si="220"/>
        <v>66.3</v>
      </c>
      <c r="DP110" s="44">
        <f t="shared" si="220"/>
        <v>66.3</v>
      </c>
      <c r="DQ110" s="44">
        <f t="shared" si="220"/>
        <v>66.3</v>
      </c>
      <c r="DR110" s="44">
        <f t="shared" si="220"/>
        <v>66.3</v>
      </c>
      <c r="DS110" s="44">
        <f t="shared" si="220"/>
        <v>101</v>
      </c>
      <c r="DT110" s="44">
        <f t="shared" si="220"/>
        <v>101</v>
      </c>
      <c r="DU110" s="43">
        <f t="shared" si="220"/>
        <v>101</v>
      </c>
      <c r="DV110" s="43">
        <f t="shared" si="220"/>
        <v>96.7</v>
      </c>
      <c r="DW110" s="43">
        <f t="shared" si="220"/>
        <v>91.5</v>
      </c>
      <c r="DX110" s="43">
        <f t="shared" si="220"/>
        <v>86.5</v>
      </c>
      <c r="DY110" s="43">
        <f t="shared" si="220"/>
        <v>84</v>
      </c>
      <c r="DZ110" s="43">
        <f t="shared" si="220"/>
        <v>97</v>
      </c>
      <c r="EA110" s="43">
        <f t="shared" si="220"/>
        <v>97</v>
      </c>
      <c r="EB110" s="43">
        <f t="shared" si="220"/>
        <v>92</v>
      </c>
      <c r="EC110" s="43">
        <f t="shared" si="220"/>
        <v>92</v>
      </c>
      <c r="ED110" s="43">
        <f aca="true" t="shared" si="221" ref="ED110:GP110">ED109-ED108</f>
        <v>87</v>
      </c>
      <c r="EE110" s="43">
        <f t="shared" si="221"/>
        <v>87</v>
      </c>
      <c r="EF110" s="43">
        <f t="shared" si="221"/>
        <v>87</v>
      </c>
      <c r="EG110" s="43">
        <f t="shared" si="221"/>
        <v>87</v>
      </c>
      <c r="EH110" s="43">
        <f t="shared" si="221"/>
        <v>87</v>
      </c>
      <c r="EI110" s="43">
        <f t="shared" si="221"/>
        <v>87</v>
      </c>
      <c r="EJ110" s="43">
        <f t="shared" si="221"/>
        <v>87</v>
      </c>
      <c r="EK110" s="43">
        <f t="shared" si="221"/>
        <v>87</v>
      </c>
      <c r="EL110" s="43">
        <f t="shared" si="221"/>
        <v>87</v>
      </c>
      <c r="EM110" s="43">
        <f t="shared" si="221"/>
        <v>87</v>
      </c>
      <c r="EN110" s="43">
        <f t="shared" si="221"/>
        <v>140.5</v>
      </c>
      <c r="EO110" s="43">
        <f t="shared" si="221"/>
        <v>140.5</v>
      </c>
      <c r="EP110" s="43">
        <f t="shared" si="221"/>
        <v>105.3</v>
      </c>
      <c r="EQ110" s="43">
        <f t="shared" si="221"/>
        <v>105.3</v>
      </c>
      <c r="ER110" s="43">
        <f t="shared" si="221"/>
        <v>105.3</v>
      </c>
      <c r="ES110" s="43">
        <f t="shared" si="221"/>
        <v>105.3</v>
      </c>
      <c r="ET110" s="43">
        <f t="shared" si="221"/>
        <v>105.3</v>
      </c>
      <c r="EU110" s="43">
        <f t="shared" si="221"/>
        <v>105.3</v>
      </c>
      <c r="EV110" s="43">
        <f t="shared" si="221"/>
        <v>105.3</v>
      </c>
      <c r="EW110" s="43">
        <f t="shared" si="221"/>
        <v>141.29999999999998</v>
      </c>
      <c r="EX110" s="43">
        <f t="shared" si="221"/>
        <v>141.29999999999998</v>
      </c>
      <c r="EY110" s="43">
        <f t="shared" si="221"/>
        <v>141.29999999999998</v>
      </c>
      <c r="EZ110" s="43">
        <f t="shared" si="221"/>
        <v>141.29999999999998</v>
      </c>
      <c r="FA110" s="43">
        <f t="shared" si="221"/>
        <v>141.29999999999998</v>
      </c>
      <c r="FB110" s="43">
        <f t="shared" si="221"/>
        <v>141.29999999999998</v>
      </c>
      <c r="FC110" s="43">
        <f t="shared" si="221"/>
        <v>141.29999999999998</v>
      </c>
      <c r="FD110" s="43">
        <f t="shared" si="221"/>
        <v>141.29999999999998</v>
      </c>
      <c r="FE110" s="43">
        <f t="shared" si="221"/>
        <v>141.29999999999998</v>
      </c>
      <c r="FF110" s="43">
        <f t="shared" si="221"/>
        <v>143.45</v>
      </c>
      <c r="FG110" s="43">
        <f t="shared" si="221"/>
        <v>143.45</v>
      </c>
      <c r="FH110" s="43">
        <f t="shared" si="221"/>
        <v>143.45</v>
      </c>
      <c r="FI110" s="43">
        <f t="shared" si="221"/>
        <v>143.45</v>
      </c>
      <c r="FJ110" s="43">
        <f t="shared" si="221"/>
        <v>143.45</v>
      </c>
      <c r="FK110" s="43">
        <f t="shared" si="221"/>
        <v>143.45</v>
      </c>
      <c r="FL110" s="43">
        <f t="shared" si="221"/>
        <v>143.45</v>
      </c>
      <c r="FM110" s="43">
        <f t="shared" si="221"/>
        <v>143.45</v>
      </c>
      <c r="FN110" s="43">
        <f t="shared" si="221"/>
        <v>143.45</v>
      </c>
      <c r="FO110" s="43">
        <f t="shared" si="221"/>
        <v>143.45</v>
      </c>
      <c r="FP110" s="43">
        <f t="shared" si="221"/>
        <v>143.45</v>
      </c>
      <c r="FQ110" s="43">
        <f t="shared" si="221"/>
        <v>143.45</v>
      </c>
      <c r="FR110" s="43">
        <f t="shared" si="221"/>
        <v>83.44999999999999</v>
      </c>
      <c r="FS110" s="43">
        <f t="shared" si="221"/>
        <v>83.44999999999999</v>
      </c>
      <c r="FT110" s="43">
        <f t="shared" si="221"/>
        <v>83.44999999999999</v>
      </c>
      <c r="FU110" s="43">
        <f t="shared" si="221"/>
        <v>83.44999999999999</v>
      </c>
      <c r="FV110" s="43">
        <f t="shared" si="221"/>
        <v>83.44999999999999</v>
      </c>
      <c r="FW110" s="43">
        <f t="shared" si="221"/>
        <v>83.44999999999999</v>
      </c>
      <c r="FX110" s="43">
        <f t="shared" si="221"/>
        <v>83.44999999999999</v>
      </c>
      <c r="FY110" s="43">
        <f t="shared" si="221"/>
        <v>83.44999999999999</v>
      </c>
      <c r="FZ110" s="43">
        <f t="shared" si="221"/>
        <v>83.44999999999999</v>
      </c>
      <c r="GA110" s="43">
        <f t="shared" si="221"/>
        <v>83.44999999999999</v>
      </c>
      <c r="GB110" s="43">
        <f t="shared" si="221"/>
        <v>83.44999999999999</v>
      </c>
      <c r="GC110" s="43">
        <f t="shared" si="221"/>
        <v>83.44999999999999</v>
      </c>
      <c r="GD110" s="43">
        <f t="shared" si="221"/>
        <v>83.44999999999999</v>
      </c>
      <c r="GE110" s="43">
        <f t="shared" si="221"/>
        <v>83.44999999999999</v>
      </c>
      <c r="GF110" s="43">
        <f t="shared" si="221"/>
        <v>83.44999999999999</v>
      </c>
      <c r="GG110" s="43">
        <f t="shared" si="221"/>
        <v>83.44999999999999</v>
      </c>
      <c r="GH110" s="43">
        <f t="shared" si="221"/>
        <v>83.44999999999999</v>
      </c>
      <c r="GI110" s="43">
        <f t="shared" si="221"/>
        <v>83.44999999999999</v>
      </c>
      <c r="GJ110" s="43">
        <f t="shared" si="221"/>
        <v>83.44999999999999</v>
      </c>
      <c r="GK110" s="43">
        <f t="shared" si="221"/>
        <v>83.44999999999999</v>
      </c>
      <c r="GL110" s="43">
        <f t="shared" si="221"/>
        <v>83.44999999999999</v>
      </c>
      <c r="GM110" s="43">
        <f t="shared" si="221"/>
        <v>83.44999999999999</v>
      </c>
      <c r="GN110" s="43">
        <f t="shared" si="221"/>
        <v>83.44999999999999</v>
      </c>
      <c r="GO110" s="43">
        <f t="shared" si="221"/>
        <v>109.44999999999999</v>
      </c>
      <c r="GP110" s="43">
        <f t="shared" si="221"/>
        <v>109.44999999999999</v>
      </c>
      <c r="GQ110" s="43">
        <f aca="true" t="shared" si="222" ref="GQ110:HG110">GQ109-GQ108</f>
        <v>109.44999999999999</v>
      </c>
      <c r="GR110" s="43">
        <f t="shared" si="222"/>
        <v>109.44999999999999</v>
      </c>
      <c r="GS110" s="43">
        <f t="shared" si="222"/>
        <v>109.44999999999999</v>
      </c>
      <c r="GT110" s="43">
        <f t="shared" si="222"/>
        <v>109.44999999999999</v>
      </c>
      <c r="GU110" s="43">
        <f t="shared" si="222"/>
        <v>109.44999999999999</v>
      </c>
      <c r="GV110" s="43">
        <f t="shared" si="222"/>
        <v>109.44999999999999</v>
      </c>
      <c r="GW110" s="43">
        <f t="shared" si="222"/>
        <v>109.44999999999999</v>
      </c>
      <c r="GX110" s="43">
        <f t="shared" si="222"/>
        <v>109.44999999999999</v>
      </c>
      <c r="GY110" s="43">
        <f t="shared" si="222"/>
        <v>109.44999999999999</v>
      </c>
      <c r="GZ110" s="43">
        <f t="shared" si="222"/>
        <v>109.44999999999999</v>
      </c>
      <c r="HA110" s="43">
        <f t="shared" si="222"/>
        <v>109.44999999999999</v>
      </c>
      <c r="HB110" s="43">
        <f t="shared" si="222"/>
        <v>109.44999999999999</v>
      </c>
      <c r="HC110" s="43">
        <f t="shared" si="222"/>
        <v>109.44999999999999</v>
      </c>
      <c r="HD110" s="43">
        <f t="shared" si="222"/>
        <v>109.44999999999999</v>
      </c>
      <c r="HE110" s="43">
        <f t="shared" si="222"/>
        <v>109.44999999999999</v>
      </c>
      <c r="HF110" s="43">
        <f t="shared" si="222"/>
        <v>109.44999999999999</v>
      </c>
      <c r="HG110" s="43">
        <f t="shared" si="222"/>
        <v>109.44999999999999</v>
      </c>
    </row>
    <row r="111" spans="1:256" s="9" customFormat="1" ht="15">
      <c r="A111" s="4" t="s">
        <v>258</v>
      </c>
      <c r="B111" s="4"/>
      <c r="C111" s="12" t="s">
        <v>216</v>
      </c>
      <c r="O111" s="19">
        <f>7.4</f>
        <v>7.4</v>
      </c>
      <c r="P111" s="19">
        <v>15</v>
      </c>
      <c r="T111" s="19">
        <v>15</v>
      </c>
      <c r="Y111" s="19">
        <v>30</v>
      </c>
      <c r="Z111" s="19">
        <f>26.3+12.7+14.1</f>
        <v>53.1</v>
      </c>
      <c r="AP111" s="19">
        <v>13</v>
      </c>
      <c r="AR111" s="59">
        <v>20</v>
      </c>
      <c r="AS111" s="9">
        <v>20</v>
      </c>
      <c r="AT111" s="19">
        <v>20</v>
      </c>
      <c r="AV111" s="30">
        <v>20</v>
      </c>
      <c r="AW111" s="60">
        <v>20.7</v>
      </c>
      <c r="AX111" s="9">
        <v>15</v>
      </c>
      <c r="BS111" s="19">
        <v>20</v>
      </c>
      <c r="BT111" s="31"/>
      <c r="BU111" s="31"/>
      <c r="BV111" s="31"/>
      <c r="BW111" s="30">
        <v>27.7</v>
      </c>
      <c r="BX111" s="9">
        <v>12.3</v>
      </c>
      <c r="BY111" s="30">
        <v>12</v>
      </c>
      <c r="CA111" s="19">
        <v>10.9</v>
      </c>
      <c r="CB111" s="19">
        <v>12.2</v>
      </c>
      <c r="CC111" s="9">
        <v>15</v>
      </c>
      <c r="CP111" s="19">
        <v>40.2</v>
      </c>
      <c r="CS111" s="30">
        <v>20</v>
      </c>
      <c r="CT111" s="30">
        <v>20</v>
      </c>
      <c r="CU111" s="30">
        <v>14.1</v>
      </c>
      <c r="CX111" s="19">
        <v>21</v>
      </c>
      <c r="DD111" s="30">
        <v>15</v>
      </c>
      <c r="DI111" s="19">
        <v>35</v>
      </c>
      <c r="DL111" s="19">
        <v>12.7</v>
      </c>
      <c r="DN111" s="19">
        <f>3.9+15</f>
        <v>18.9</v>
      </c>
      <c r="DP111" s="30">
        <v>15</v>
      </c>
      <c r="DQ111" s="29"/>
      <c r="DR111" s="29"/>
      <c r="DS111" s="29"/>
      <c r="DT111" s="29"/>
      <c r="DV111" s="30">
        <v>27</v>
      </c>
      <c r="DW111" s="30">
        <f>27.1+21</f>
        <v>48.1</v>
      </c>
      <c r="DX111" s="30">
        <v>20.9</v>
      </c>
      <c r="ED111" s="30">
        <v>3.9</v>
      </c>
      <c r="EE111" s="9">
        <v>20.9</v>
      </c>
      <c r="EH111" s="19">
        <v>15</v>
      </c>
      <c r="EP111" s="30">
        <v>15</v>
      </c>
      <c r="EQ111" s="99">
        <v>13</v>
      </c>
      <c r="EU111" s="30">
        <v>25</v>
      </c>
      <c r="EW111" s="99">
        <v>15</v>
      </c>
      <c r="EX111" s="19">
        <v>25</v>
      </c>
      <c r="EZ111" s="19">
        <v>5.1</v>
      </c>
      <c r="FF111" s="98">
        <v>32.8</v>
      </c>
      <c r="FR111" s="9">
        <f>15+13+5.1</f>
        <v>33.1</v>
      </c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197" s="42" customFormat="1" ht="15">
      <c r="A112" s="35"/>
      <c r="B112" s="35"/>
      <c r="C112" s="24" t="s">
        <v>217</v>
      </c>
      <c r="D112" s="25">
        <v>24</v>
      </c>
      <c r="E112" s="25">
        <f>D113</f>
        <v>24</v>
      </c>
      <c r="F112" s="25">
        <f aca="true" t="shared" si="223" ref="F112:BQ112">E113</f>
        <v>24</v>
      </c>
      <c r="G112" s="25">
        <f t="shared" si="223"/>
        <v>24</v>
      </c>
      <c r="H112" s="25">
        <f t="shared" si="223"/>
        <v>24</v>
      </c>
      <c r="I112" s="25">
        <f t="shared" si="223"/>
        <v>24</v>
      </c>
      <c r="J112" s="25">
        <f t="shared" si="223"/>
        <v>24</v>
      </c>
      <c r="K112" s="25">
        <f t="shared" si="223"/>
        <v>24</v>
      </c>
      <c r="L112" s="25">
        <f t="shared" si="223"/>
        <v>24</v>
      </c>
      <c r="M112" s="25">
        <f t="shared" si="223"/>
        <v>24</v>
      </c>
      <c r="N112" s="25">
        <f t="shared" si="223"/>
        <v>24</v>
      </c>
      <c r="O112" s="37">
        <f t="shared" si="223"/>
        <v>24</v>
      </c>
      <c r="P112" s="58">
        <f>O113+25.7</f>
        <v>42.3</v>
      </c>
      <c r="Q112" s="25">
        <f t="shared" si="223"/>
        <v>27.299999999999997</v>
      </c>
      <c r="R112" s="61">
        <f>Q113+56.3+3.7</f>
        <v>87.3</v>
      </c>
      <c r="S112" s="25">
        <f t="shared" si="223"/>
        <v>87.3</v>
      </c>
      <c r="T112" s="25">
        <f>S113+15</f>
        <v>102.3</v>
      </c>
      <c r="U112" s="25">
        <f t="shared" si="223"/>
        <v>87.3</v>
      </c>
      <c r="V112" s="25">
        <f t="shared" si="223"/>
        <v>87.3</v>
      </c>
      <c r="W112" s="25">
        <f t="shared" si="223"/>
        <v>87.3</v>
      </c>
      <c r="X112" s="25">
        <f t="shared" si="223"/>
        <v>87.3</v>
      </c>
      <c r="Y112" s="39">
        <f>X113+14.1</f>
        <v>101.39999999999999</v>
      </c>
      <c r="Z112" s="25">
        <f t="shared" si="223"/>
        <v>71.39999999999999</v>
      </c>
      <c r="AA112" s="25">
        <f t="shared" si="223"/>
        <v>18.29999999999999</v>
      </c>
      <c r="AB112" s="25">
        <f t="shared" si="223"/>
        <v>18.29999999999999</v>
      </c>
      <c r="AC112" s="25">
        <f t="shared" si="223"/>
        <v>18.29999999999999</v>
      </c>
      <c r="AD112" s="25">
        <f t="shared" si="223"/>
        <v>18.29999999999999</v>
      </c>
      <c r="AE112" s="25">
        <f t="shared" si="223"/>
        <v>18.29999999999999</v>
      </c>
      <c r="AF112" s="62">
        <f>AE113+12.6</f>
        <v>30.89999999999999</v>
      </c>
      <c r="AG112" s="25">
        <f t="shared" si="223"/>
        <v>30.89999999999999</v>
      </c>
      <c r="AH112" s="25">
        <f t="shared" si="223"/>
        <v>30.89999999999999</v>
      </c>
      <c r="AI112" s="25">
        <f t="shared" si="223"/>
        <v>30.89999999999999</v>
      </c>
      <c r="AJ112" s="25">
        <f t="shared" si="223"/>
        <v>30.89999999999999</v>
      </c>
      <c r="AK112" s="25">
        <f t="shared" si="223"/>
        <v>30.89999999999999</v>
      </c>
      <c r="AL112" s="25">
        <f t="shared" si="223"/>
        <v>30.89999999999999</v>
      </c>
      <c r="AM112" s="25">
        <f t="shared" si="223"/>
        <v>30.89999999999999</v>
      </c>
      <c r="AN112" s="25">
        <f t="shared" si="223"/>
        <v>30.89999999999999</v>
      </c>
      <c r="AO112" s="25">
        <f t="shared" si="223"/>
        <v>30.89999999999999</v>
      </c>
      <c r="AP112" s="61">
        <f>AO113+29.1</f>
        <v>59.99999999999999</v>
      </c>
      <c r="AQ112" s="63">
        <f>AP113+55+3.7</f>
        <v>105.7</v>
      </c>
      <c r="AR112" s="58">
        <f>AQ113+15</f>
        <v>120.7</v>
      </c>
      <c r="AS112" s="25">
        <f t="shared" si="223"/>
        <v>100.7</v>
      </c>
      <c r="AT112" s="25">
        <f t="shared" si="223"/>
        <v>80.7</v>
      </c>
      <c r="AU112" s="25">
        <f t="shared" si="223"/>
        <v>60.7</v>
      </c>
      <c r="AV112" s="25">
        <f t="shared" si="223"/>
        <v>60.7</v>
      </c>
      <c r="AW112" s="25">
        <f t="shared" si="223"/>
        <v>40.7</v>
      </c>
      <c r="AX112" s="25">
        <f t="shared" si="223"/>
        <v>20.000000000000004</v>
      </c>
      <c r="AY112" s="25">
        <f t="shared" si="223"/>
        <v>5.0000000000000036</v>
      </c>
      <c r="AZ112" s="25">
        <f t="shared" si="223"/>
        <v>5.0000000000000036</v>
      </c>
      <c r="BA112" s="25">
        <f t="shared" si="223"/>
        <v>5.0000000000000036</v>
      </c>
      <c r="BB112" s="25">
        <f t="shared" si="223"/>
        <v>5.0000000000000036</v>
      </c>
      <c r="BC112" s="25">
        <f t="shared" si="223"/>
        <v>5.0000000000000036</v>
      </c>
      <c r="BD112" s="25">
        <f t="shared" si="223"/>
        <v>5.0000000000000036</v>
      </c>
      <c r="BE112" s="25">
        <f t="shared" si="223"/>
        <v>5.0000000000000036</v>
      </c>
      <c r="BF112" s="25">
        <f t="shared" si="223"/>
        <v>5.0000000000000036</v>
      </c>
      <c r="BG112" s="25">
        <f t="shared" si="223"/>
        <v>5.0000000000000036</v>
      </c>
      <c r="BH112" s="64">
        <f>BG113+12.3</f>
        <v>17.300000000000004</v>
      </c>
      <c r="BI112" s="25">
        <f t="shared" si="223"/>
        <v>17.300000000000004</v>
      </c>
      <c r="BJ112" s="25">
        <f t="shared" si="223"/>
        <v>17.300000000000004</v>
      </c>
      <c r="BK112" s="25">
        <f t="shared" si="223"/>
        <v>17.300000000000004</v>
      </c>
      <c r="BL112" s="25">
        <f t="shared" si="223"/>
        <v>17.300000000000004</v>
      </c>
      <c r="BM112" s="25">
        <f t="shared" si="223"/>
        <v>17.300000000000004</v>
      </c>
      <c r="BN112" s="25">
        <f t="shared" si="223"/>
        <v>17.300000000000004</v>
      </c>
      <c r="BO112" s="25">
        <f t="shared" si="223"/>
        <v>17.300000000000004</v>
      </c>
      <c r="BP112" s="39">
        <f>BO113+24.2+54.7+3.9</f>
        <v>100.10000000000001</v>
      </c>
      <c r="BQ112" s="25">
        <f t="shared" si="223"/>
        <v>100.10000000000001</v>
      </c>
      <c r="BR112" s="25">
        <f>BQ113+15</f>
        <v>115.10000000000001</v>
      </c>
      <c r="BS112" s="25">
        <f aca="true" t="shared" si="224" ref="BS112:EC112">BR113</f>
        <v>115.10000000000001</v>
      </c>
      <c r="BT112" s="40">
        <f t="shared" si="224"/>
        <v>95.10000000000001</v>
      </c>
      <c r="BU112" s="40">
        <f t="shared" si="224"/>
        <v>95.10000000000001</v>
      </c>
      <c r="BV112" s="40">
        <f t="shared" si="224"/>
        <v>95.10000000000001</v>
      </c>
      <c r="BW112" s="25">
        <f t="shared" si="224"/>
        <v>95.10000000000001</v>
      </c>
      <c r="BX112" s="25">
        <f t="shared" si="224"/>
        <v>67.4</v>
      </c>
      <c r="BY112" s="25">
        <f t="shared" si="224"/>
        <v>55.10000000000001</v>
      </c>
      <c r="BZ112" s="25">
        <f t="shared" si="224"/>
        <v>43.10000000000001</v>
      </c>
      <c r="CA112" s="25">
        <f t="shared" si="224"/>
        <v>43.10000000000001</v>
      </c>
      <c r="CB112" s="25">
        <f t="shared" si="224"/>
        <v>32.20000000000001</v>
      </c>
      <c r="CC112" s="25">
        <f t="shared" si="224"/>
        <v>20.00000000000001</v>
      </c>
      <c r="CD112" s="25">
        <f t="shared" si="224"/>
        <v>5.000000000000011</v>
      </c>
      <c r="CE112" s="25">
        <f t="shared" si="224"/>
        <v>5.000000000000011</v>
      </c>
      <c r="CF112" s="25">
        <f t="shared" si="224"/>
        <v>5.000000000000011</v>
      </c>
      <c r="CG112" s="25">
        <f t="shared" si="224"/>
        <v>5.000000000000011</v>
      </c>
      <c r="CH112" s="25">
        <f t="shared" si="224"/>
        <v>5.000000000000011</v>
      </c>
      <c r="CI112" s="25">
        <f t="shared" si="224"/>
        <v>5.000000000000011</v>
      </c>
      <c r="CJ112" s="25">
        <f t="shared" si="224"/>
        <v>5.000000000000011</v>
      </c>
      <c r="CK112" s="25">
        <f t="shared" si="224"/>
        <v>5.000000000000011</v>
      </c>
      <c r="CL112" s="25">
        <f t="shared" si="224"/>
        <v>5.000000000000011</v>
      </c>
      <c r="CM112" s="25">
        <f t="shared" si="224"/>
        <v>5.000000000000011</v>
      </c>
      <c r="CN112" s="25">
        <f>CM113</f>
        <v>5.000000000000011</v>
      </c>
      <c r="CO112" s="25">
        <f>CN113+15+12.2</f>
        <v>32.20000000000001</v>
      </c>
      <c r="CP112" s="25">
        <f>CO113+28</f>
        <v>60.20000000000001</v>
      </c>
      <c r="CQ112" s="25">
        <f>CP113+54.1+3.9</f>
        <v>78.00000000000001</v>
      </c>
      <c r="CR112" s="25">
        <f t="shared" si="224"/>
        <v>78.00000000000001</v>
      </c>
      <c r="CS112" s="25">
        <f t="shared" si="224"/>
        <v>78.00000000000001</v>
      </c>
      <c r="CT112" s="25">
        <f t="shared" si="224"/>
        <v>58.000000000000014</v>
      </c>
      <c r="CU112" s="25">
        <f t="shared" si="224"/>
        <v>38.000000000000014</v>
      </c>
      <c r="CV112" s="25">
        <f t="shared" si="224"/>
        <v>23.900000000000013</v>
      </c>
      <c r="CW112" s="25">
        <f t="shared" si="224"/>
        <v>23.900000000000013</v>
      </c>
      <c r="CX112" s="25">
        <f>CW113+21</f>
        <v>44.90000000000001</v>
      </c>
      <c r="CY112" s="25">
        <f t="shared" si="224"/>
        <v>23.900000000000013</v>
      </c>
      <c r="CZ112" s="25">
        <f t="shared" si="224"/>
        <v>23.900000000000013</v>
      </c>
      <c r="DA112" s="25">
        <f t="shared" si="224"/>
        <v>23.900000000000013</v>
      </c>
      <c r="DB112" s="25">
        <f t="shared" si="224"/>
        <v>23.900000000000013</v>
      </c>
      <c r="DC112" s="25">
        <f t="shared" si="224"/>
        <v>23.900000000000013</v>
      </c>
      <c r="DD112" s="25">
        <f t="shared" si="224"/>
        <v>23.900000000000013</v>
      </c>
      <c r="DE112" s="25">
        <f t="shared" si="224"/>
        <v>8.900000000000013</v>
      </c>
      <c r="DF112" s="25">
        <f>DE113+12.7</f>
        <v>21.600000000000012</v>
      </c>
      <c r="DG112" s="25">
        <f t="shared" si="224"/>
        <v>21.600000000000012</v>
      </c>
      <c r="DH112" s="25">
        <f t="shared" si="224"/>
        <v>21.600000000000012</v>
      </c>
      <c r="DI112" s="25">
        <f>DH113+35</f>
        <v>56.60000000000001</v>
      </c>
      <c r="DJ112" s="25">
        <f>DI113+15</f>
        <v>36.60000000000001</v>
      </c>
      <c r="DK112" s="25">
        <f t="shared" si="224"/>
        <v>36.60000000000001</v>
      </c>
      <c r="DL112" s="25">
        <f>DK113</f>
        <v>36.60000000000001</v>
      </c>
      <c r="DM112" s="25">
        <f>DL113+15</f>
        <v>38.900000000000006</v>
      </c>
      <c r="DN112" s="25">
        <f t="shared" si="224"/>
        <v>38.900000000000006</v>
      </c>
      <c r="DO112" s="25">
        <f>DN113+20.9</f>
        <v>40.900000000000006</v>
      </c>
      <c r="DP112" s="37">
        <f>DO113+54.1+3.9</f>
        <v>98.9</v>
      </c>
      <c r="DQ112" s="37">
        <f t="shared" si="224"/>
        <v>83.9</v>
      </c>
      <c r="DR112" s="37">
        <f t="shared" si="224"/>
        <v>83.9</v>
      </c>
      <c r="DS112" s="37">
        <f t="shared" si="224"/>
        <v>83.9</v>
      </c>
      <c r="DT112" s="37">
        <f t="shared" si="224"/>
        <v>83.9</v>
      </c>
      <c r="DU112" s="25">
        <f t="shared" si="224"/>
        <v>83.9</v>
      </c>
      <c r="DV112" s="25">
        <f>DU113+20.9</f>
        <v>104.80000000000001</v>
      </c>
      <c r="DW112" s="25">
        <f>DV113+21</f>
        <v>98.80000000000001</v>
      </c>
      <c r="DX112" s="25">
        <f t="shared" si="224"/>
        <v>50.70000000000001</v>
      </c>
      <c r="DY112" s="25">
        <f>DX113+15</f>
        <v>44.80000000000001</v>
      </c>
      <c r="DZ112" s="25">
        <f t="shared" si="224"/>
        <v>44.80000000000001</v>
      </c>
      <c r="EA112" s="25">
        <f t="shared" si="224"/>
        <v>44.80000000000001</v>
      </c>
      <c r="EB112" s="25">
        <f t="shared" si="224"/>
        <v>44.80000000000001</v>
      </c>
      <c r="EC112" s="25">
        <f t="shared" si="224"/>
        <v>44.80000000000001</v>
      </c>
      <c r="ED112" s="25">
        <f aca="true" t="shared" si="225" ref="ED112:GO112">EC113</f>
        <v>44.80000000000001</v>
      </c>
      <c r="EE112" s="25">
        <f t="shared" si="225"/>
        <v>40.90000000000001</v>
      </c>
      <c r="EF112" s="25">
        <f>EE113+15</f>
        <v>35.000000000000014</v>
      </c>
      <c r="EG112" s="25">
        <f t="shared" si="225"/>
        <v>35.000000000000014</v>
      </c>
      <c r="EH112" s="25">
        <f t="shared" si="225"/>
        <v>35.000000000000014</v>
      </c>
      <c r="EI112" s="25">
        <f>EH113+0.1</f>
        <v>20.100000000000016</v>
      </c>
      <c r="EJ112" s="25">
        <f>EI113+13</f>
        <v>33.100000000000016</v>
      </c>
      <c r="EK112" s="25">
        <f t="shared" si="225"/>
        <v>33.100000000000016</v>
      </c>
      <c r="EL112" s="25">
        <f t="shared" si="225"/>
        <v>33.100000000000016</v>
      </c>
      <c r="EM112" s="25">
        <f t="shared" si="225"/>
        <v>33.100000000000016</v>
      </c>
      <c r="EN112" s="25">
        <f>EM113+55.1</f>
        <v>88.20000000000002</v>
      </c>
      <c r="EO112" s="25">
        <f>EN113+3.9</f>
        <v>92.10000000000002</v>
      </c>
      <c r="EP112" s="25">
        <f t="shared" si="225"/>
        <v>92.10000000000002</v>
      </c>
      <c r="EQ112" s="25">
        <f t="shared" si="225"/>
        <v>77.10000000000002</v>
      </c>
      <c r="ER112" s="25">
        <f>EQ113</f>
        <v>64.10000000000002</v>
      </c>
      <c r="ES112" s="25">
        <f>ER113</f>
        <v>64.10000000000002</v>
      </c>
      <c r="ET112" s="25">
        <f>ES113</f>
        <v>64.10000000000002</v>
      </c>
      <c r="EU112" s="25">
        <f t="shared" si="225"/>
        <v>64.10000000000002</v>
      </c>
      <c r="EV112" s="25">
        <f t="shared" si="225"/>
        <v>39.10000000000002</v>
      </c>
      <c r="EW112" s="25">
        <f>EV113+31.7</f>
        <v>70.80000000000003</v>
      </c>
      <c r="EX112" s="25">
        <f t="shared" si="225"/>
        <v>55.800000000000026</v>
      </c>
      <c r="EY112" s="25">
        <f t="shared" si="225"/>
        <v>30.800000000000026</v>
      </c>
      <c r="EZ112" s="25">
        <f t="shared" si="225"/>
        <v>30.800000000000026</v>
      </c>
      <c r="FA112" s="25">
        <f t="shared" si="225"/>
        <v>25.700000000000024</v>
      </c>
      <c r="FB112" s="25">
        <f t="shared" si="225"/>
        <v>25.700000000000024</v>
      </c>
      <c r="FC112" s="25">
        <f t="shared" si="225"/>
        <v>25.700000000000024</v>
      </c>
      <c r="FD112" s="25">
        <f t="shared" si="225"/>
        <v>25.700000000000024</v>
      </c>
      <c r="FE112" s="25">
        <f t="shared" si="225"/>
        <v>25.700000000000024</v>
      </c>
      <c r="FF112" s="25">
        <f>FE113+5.3+17.5</f>
        <v>48.50000000000003</v>
      </c>
      <c r="FG112" s="25">
        <f t="shared" si="225"/>
        <v>15.700000000000031</v>
      </c>
      <c r="FH112" s="25">
        <f t="shared" si="225"/>
        <v>15.700000000000031</v>
      </c>
      <c r="FI112" s="25">
        <f t="shared" si="225"/>
        <v>15.700000000000031</v>
      </c>
      <c r="FJ112" s="25">
        <f t="shared" si="225"/>
        <v>15.700000000000031</v>
      </c>
      <c r="FK112" s="25">
        <f t="shared" si="225"/>
        <v>15.700000000000031</v>
      </c>
      <c r="FL112" s="25">
        <f t="shared" si="225"/>
        <v>15.700000000000031</v>
      </c>
      <c r="FM112" s="25">
        <f t="shared" si="225"/>
        <v>15.700000000000031</v>
      </c>
      <c r="FN112" s="25">
        <f t="shared" si="225"/>
        <v>15.700000000000031</v>
      </c>
      <c r="FO112" s="25">
        <f t="shared" si="225"/>
        <v>15.700000000000031</v>
      </c>
      <c r="FP112" s="25">
        <f t="shared" si="225"/>
        <v>15.700000000000031</v>
      </c>
      <c r="FQ112" s="25">
        <f t="shared" si="225"/>
        <v>15.700000000000031</v>
      </c>
      <c r="FR112" s="25">
        <f t="shared" si="225"/>
        <v>15.700000000000031</v>
      </c>
      <c r="FS112" s="25">
        <f t="shared" si="225"/>
        <v>-17.39999999999997</v>
      </c>
      <c r="FT112" s="25">
        <f t="shared" si="225"/>
        <v>-17.39999999999997</v>
      </c>
      <c r="FU112" s="25">
        <f t="shared" si="225"/>
        <v>-17.39999999999997</v>
      </c>
      <c r="FV112" s="25">
        <f t="shared" si="225"/>
        <v>-17.39999999999997</v>
      </c>
      <c r="FW112" s="25">
        <f t="shared" si="225"/>
        <v>-17.39999999999997</v>
      </c>
      <c r="FX112" s="25">
        <f t="shared" si="225"/>
        <v>-17.39999999999997</v>
      </c>
      <c r="FY112" s="25">
        <f t="shared" si="225"/>
        <v>-17.39999999999997</v>
      </c>
      <c r="FZ112" s="25">
        <f t="shared" si="225"/>
        <v>-17.39999999999997</v>
      </c>
      <c r="GA112" s="25">
        <f t="shared" si="225"/>
        <v>-17.39999999999997</v>
      </c>
      <c r="GB112" s="25">
        <f t="shared" si="225"/>
        <v>-17.39999999999997</v>
      </c>
      <c r="GC112" s="25">
        <f t="shared" si="225"/>
        <v>-17.39999999999997</v>
      </c>
      <c r="GD112" s="25">
        <f t="shared" si="225"/>
        <v>-17.39999999999997</v>
      </c>
      <c r="GE112" s="25">
        <f t="shared" si="225"/>
        <v>-17.39999999999997</v>
      </c>
      <c r="GF112" s="25">
        <f t="shared" si="225"/>
        <v>-17.39999999999997</v>
      </c>
      <c r="GG112" s="25">
        <f t="shared" si="225"/>
        <v>-17.39999999999997</v>
      </c>
      <c r="GH112" s="25">
        <f t="shared" si="225"/>
        <v>-17.39999999999997</v>
      </c>
      <c r="GI112" s="25">
        <f t="shared" si="225"/>
        <v>-17.39999999999997</v>
      </c>
      <c r="GJ112" s="25">
        <f t="shared" si="225"/>
        <v>-17.39999999999997</v>
      </c>
      <c r="GK112" s="25">
        <f t="shared" si="225"/>
        <v>-17.39999999999997</v>
      </c>
      <c r="GL112" s="25">
        <f t="shared" si="225"/>
        <v>-17.39999999999997</v>
      </c>
      <c r="GM112" s="25">
        <f t="shared" si="225"/>
        <v>-17.39999999999997</v>
      </c>
      <c r="GN112" s="25">
        <f t="shared" si="225"/>
        <v>-17.39999999999997</v>
      </c>
      <c r="GO112" s="25">
        <f t="shared" si="225"/>
        <v>-17.39999999999997</v>
      </c>
    </row>
    <row r="113" spans="1:197" s="42" customFormat="1" ht="15">
      <c r="A113" s="35"/>
      <c r="B113" s="35"/>
      <c r="C113" s="24" t="s">
        <v>218</v>
      </c>
      <c r="D113" s="43">
        <f>D112-D111</f>
        <v>24</v>
      </c>
      <c r="E113" s="43">
        <f>E112-E111</f>
        <v>24</v>
      </c>
      <c r="F113" s="43">
        <f aca="true" t="shared" si="226" ref="F113:BQ113">F112-F111</f>
        <v>24</v>
      </c>
      <c r="G113" s="43">
        <f t="shared" si="226"/>
        <v>24</v>
      </c>
      <c r="H113" s="43">
        <f t="shared" si="226"/>
        <v>24</v>
      </c>
      <c r="I113" s="43">
        <f t="shared" si="226"/>
        <v>24</v>
      </c>
      <c r="J113" s="43">
        <f t="shared" si="226"/>
        <v>24</v>
      </c>
      <c r="K113" s="43">
        <f t="shared" si="226"/>
        <v>24</v>
      </c>
      <c r="L113" s="43">
        <f t="shared" si="226"/>
        <v>24</v>
      </c>
      <c r="M113" s="43">
        <f t="shared" si="226"/>
        <v>24</v>
      </c>
      <c r="N113" s="43">
        <f t="shared" si="226"/>
        <v>24</v>
      </c>
      <c r="O113" s="43">
        <f t="shared" si="226"/>
        <v>16.6</v>
      </c>
      <c r="P113" s="43">
        <f t="shared" si="226"/>
        <v>27.299999999999997</v>
      </c>
      <c r="Q113" s="43">
        <f t="shared" si="226"/>
        <v>27.299999999999997</v>
      </c>
      <c r="R113" s="43">
        <f t="shared" si="226"/>
        <v>87.3</v>
      </c>
      <c r="S113" s="43">
        <f t="shared" si="226"/>
        <v>87.3</v>
      </c>
      <c r="T113" s="43">
        <f t="shared" si="226"/>
        <v>87.3</v>
      </c>
      <c r="U113" s="43">
        <f t="shared" si="226"/>
        <v>87.3</v>
      </c>
      <c r="V113" s="43">
        <f t="shared" si="226"/>
        <v>87.3</v>
      </c>
      <c r="W113" s="43">
        <f t="shared" si="226"/>
        <v>87.3</v>
      </c>
      <c r="X113" s="43">
        <f t="shared" si="226"/>
        <v>87.3</v>
      </c>
      <c r="Y113" s="43">
        <f t="shared" si="226"/>
        <v>71.39999999999999</v>
      </c>
      <c r="Z113" s="43">
        <f t="shared" si="226"/>
        <v>18.29999999999999</v>
      </c>
      <c r="AA113" s="43">
        <f t="shared" si="226"/>
        <v>18.29999999999999</v>
      </c>
      <c r="AB113" s="43">
        <f t="shared" si="226"/>
        <v>18.29999999999999</v>
      </c>
      <c r="AC113" s="43">
        <f t="shared" si="226"/>
        <v>18.29999999999999</v>
      </c>
      <c r="AD113" s="43">
        <f t="shared" si="226"/>
        <v>18.29999999999999</v>
      </c>
      <c r="AE113" s="43">
        <f t="shared" si="226"/>
        <v>18.29999999999999</v>
      </c>
      <c r="AF113" s="43">
        <f t="shared" si="226"/>
        <v>30.89999999999999</v>
      </c>
      <c r="AG113" s="43">
        <f t="shared" si="226"/>
        <v>30.89999999999999</v>
      </c>
      <c r="AH113" s="43">
        <f t="shared" si="226"/>
        <v>30.89999999999999</v>
      </c>
      <c r="AI113" s="43">
        <f t="shared" si="226"/>
        <v>30.89999999999999</v>
      </c>
      <c r="AJ113" s="43">
        <f t="shared" si="226"/>
        <v>30.89999999999999</v>
      </c>
      <c r="AK113" s="43">
        <f t="shared" si="226"/>
        <v>30.89999999999999</v>
      </c>
      <c r="AL113" s="43">
        <f t="shared" si="226"/>
        <v>30.89999999999999</v>
      </c>
      <c r="AM113" s="43">
        <f t="shared" si="226"/>
        <v>30.89999999999999</v>
      </c>
      <c r="AN113" s="43">
        <f t="shared" si="226"/>
        <v>30.89999999999999</v>
      </c>
      <c r="AO113" s="43">
        <f t="shared" si="226"/>
        <v>30.89999999999999</v>
      </c>
      <c r="AP113" s="43">
        <f t="shared" si="226"/>
        <v>46.99999999999999</v>
      </c>
      <c r="AQ113" s="43">
        <f t="shared" si="226"/>
        <v>105.7</v>
      </c>
      <c r="AR113" s="43">
        <f t="shared" si="226"/>
        <v>100.7</v>
      </c>
      <c r="AS113" s="43">
        <f t="shared" si="226"/>
        <v>80.7</v>
      </c>
      <c r="AT113" s="43">
        <f t="shared" si="226"/>
        <v>60.7</v>
      </c>
      <c r="AU113" s="43">
        <f t="shared" si="226"/>
        <v>60.7</v>
      </c>
      <c r="AV113" s="43">
        <f t="shared" si="226"/>
        <v>40.7</v>
      </c>
      <c r="AW113" s="43">
        <f t="shared" si="226"/>
        <v>20.000000000000004</v>
      </c>
      <c r="AX113" s="43">
        <f t="shared" si="226"/>
        <v>5.0000000000000036</v>
      </c>
      <c r="AY113" s="43">
        <f t="shared" si="226"/>
        <v>5.0000000000000036</v>
      </c>
      <c r="AZ113" s="43">
        <f t="shared" si="226"/>
        <v>5.0000000000000036</v>
      </c>
      <c r="BA113" s="43">
        <f t="shared" si="226"/>
        <v>5.0000000000000036</v>
      </c>
      <c r="BB113" s="43">
        <f t="shared" si="226"/>
        <v>5.0000000000000036</v>
      </c>
      <c r="BC113" s="43">
        <f t="shared" si="226"/>
        <v>5.0000000000000036</v>
      </c>
      <c r="BD113" s="43">
        <f t="shared" si="226"/>
        <v>5.0000000000000036</v>
      </c>
      <c r="BE113" s="43">
        <f t="shared" si="226"/>
        <v>5.0000000000000036</v>
      </c>
      <c r="BF113" s="43">
        <f t="shared" si="226"/>
        <v>5.0000000000000036</v>
      </c>
      <c r="BG113" s="43">
        <f t="shared" si="226"/>
        <v>5.0000000000000036</v>
      </c>
      <c r="BH113" s="43">
        <f t="shared" si="226"/>
        <v>17.300000000000004</v>
      </c>
      <c r="BI113" s="43">
        <f t="shared" si="226"/>
        <v>17.300000000000004</v>
      </c>
      <c r="BJ113" s="43">
        <f t="shared" si="226"/>
        <v>17.300000000000004</v>
      </c>
      <c r="BK113" s="43">
        <f t="shared" si="226"/>
        <v>17.300000000000004</v>
      </c>
      <c r="BL113" s="43">
        <f t="shared" si="226"/>
        <v>17.300000000000004</v>
      </c>
      <c r="BM113" s="43">
        <f t="shared" si="226"/>
        <v>17.300000000000004</v>
      </c>
      <c r="BN113" s="43">
        <f t="shared" si="226"/>
        <v>17.300000000000004</v>
      </c>
      <c r="BO113" s="43">
        <f t="shared" si="226"/>
        <v>17.300000000000004</v>
      </c>
      <c r="BP113" s="43">
        <f t="shared" si="226"/>
        <v>100.10000000000001</v>
      </c>
      <c r="BQ113" s="43">
        <f t="shared" si="226"/>
        <v>100.10000000000001</v>
      </c>
      <c r="BR113" s="43">
        <f aca="true" t="shared" si="227" ref="BR113:EC113">BR112-BR111</f>
        <v>115.10000000000001</v>
      </c>
      <c r="BS113" s="43">
        <f t="shared" si="227"/>
        <v>95.10000000000001</v>
      </c>
      <c r="BT113" s="45">
        <f t="shared" si="227"/>
        <v>95.10000000000001</v>
      </c>
      <c r="BU113" s="45">
        <f t="shared" si="227"/>
        <v>95.10000000000001</v>
      </c>
      <c r="BV113" s="45">
        <f t="shared" si="227"/>
        <v>95.10000000000001</v>
      </c>
      <c r="BW113" s="43">
        <f t="shared" si="227"/>
        <v>67.4</v>
      </c>
      <c r="BX113" s="43">
        <f t="shared" si="227"/>
        <v>55.10000000000001</v>
      </c>
      <c r="BY113" s="43">
        <f t="shared" si="227"/>
        <v>43.10000000000001</v>
      </c>
      <c r="BZ113" s="43">
        <f t="shared" si="227"/>
        <v>43.10000000000001</v>
      </c>
      <c r="CA113" s="43">
        <f>CA112-CA111</f>
        <v>32.20000000000001</v>
      </c>
      <c r="CB113" s="43">
        <f t="shared" si="227"/>
        <v>20.00000000000001</v>
      </c>
      <c r="CC113" s="43">
        <f>CC112-CC111</f>
        <v>5.000000000000011</v>
      </c>
      <c r="CD113" s="43">
        <f t="shared" si="227"/>
        <v>5.000000000000011</v>
      </c>
      <c r="CE113" s="43">
        <f t="shared" si="227"/>
        <v>5.000000000000011</v>
      </c>
      <c r="CF113" s="43">
        <f t="shared" si="227"/>
        <v>5.000000000000011</v>
      </c>
      <c r="CG113" s="43">
        <f t="shared" si="227"/>
        <v>5.000000000000011</v>
      </c>
      <c r="CH113" s="43">
        <f t="shared" si="227"/>
        <v>5.000000000000011</v>
      </c>
      <c r="CI113" s="43">
        <f t="shared" si="227"/>
        <v>5.000000000000011</v>
      </c>
      <c r="CJ113" s="43">
        <f t="shared" si="227"/>
        <v>5.000000000000011</v>
      </c>
      <c r="CK113" s="43">
        <f t="shared" si="227"/>
        <v>5.000000000000011</v>
      </c>
      <c r="CL113" s="43">
        <f t="shared" si="227"/>
        <v>5.000000000000011</v>
      </c>
      <c r="CM113" s="43">
        <f t="shared" si="227"/>
        <v>5.000000000000011</v>
      </c>
      <c r="CN113" s="43">
        <f t="shared" si="227"/>
        <v>5.000000000000011</v>
      </c>
      <c r="CO113" s="43">
        <f t="shared" si="227"/>
        <v>32.20000000000001</v>
      </c>
      <c r="CP113" s="43">
        <f t="shared" si="227"/>
        <v>20.000000000000007</v>
      </c>
      <c r="CQ113" s="43">
        <f t="shared" si="227"/>
        <v>78.00000000000001</v>
      </c>
      <c r="CR113" s="43">
        <f t="shared" si="227"/>
        <v>78.00000000000001</v>
      </c>
      <c r="CS113" s="43">
        <f t="shared" si="227"/>
        <v>58.000000000000014</v>
      </c>
      <c r="CT113" s="43">
        <f t="shared" si="227"/>
        <v>38.000000000000014</v>
      </c>
      <c r="CU113" s="43">
        <f t="shared" si="227"/>
        <v>23.900000000000013</v>
      </c>
      <c r="CV113" s="43">
        <f>CV112-DB111</f>
        <v>23.900000000000013</v>
      </c>
      <c r="CW113" s="43">
        <f t="shared" si="227"/>
        <v>23.900000000000013</v>
      </c>
      <c r="CX113" s="43">
        <f t="shared" si="227"/>
        <v>23.900000000000013</v>
      </c>
      <c r="CY113" s="43">
        <f t="shared" si="227"/>
        <v>23.900000000000013</v>
      </c>
      <c r="CZ113" s="43">
        <f t="shared" si="227"/>
        <v>23.900000000000013</v>
      </c>
      <c r="DA113" s="43">
        <f t="shared" si="227"/>
        <v>23.900000000000013</v>
      </c>
      <c r="DB113" s="43">
        <f>DB112</f>
        <v>23.900000000000013</v>
      </c>
      <c r="DC113" s="43">
        <f t="shared" si="227"/>
        <v>23.900000000000013</v>
      </c>
      <c r="DD113" s="43">
        <f t="shared" si="227"/>
        <v>8.900000000000013</v>
      </c>
      <c r="DE113" s="43">
        <f t="shared" si="227"/>
        <v>8.900000000000013</v>
      </c>
      <c r="DF113" s="43">
        <f t="shared" si="227"/>
        <v>21.600000000000012</v>
      </c>
      <c r="DG113" s="43">
        <f t="shared" si="227"/>
        <v>21.600000000000012</v>
      </c>
      <c r="DH113" s="43">
        <f t="shared" si="227"/>
        <v>21.600000000000012</v>
      </c>
      <c r="DI113" s="43">
        <f t="shared" si="227"/>
        <v>21.60000000000001</v>
      </c>
      <c r="DJ113" s="43">
        <f t="shared" si="227"/>
        <v>36.60000000000001</v>
      </c>
      <c r="DK113" s="43">
        <f t="shared" si="227"/>
        <v>36.60000000000001</v>
      </c>
      <c r="DL113" s="43">
        <f t="shared" si="227"/>
        <v>23.90000000000001</v>
      </c>
      <c r="DM113" s="43">
        <f t="shared" si="227"/>
        <v>38.900000000000006</v>
      </c>
      <c r="DN113" s="43">
        <f t="shared" si="227"/>
        <v>20.000000000000007</v>
      </c>
      <c r="DO113" s="43">
        <f t="shared" si="227"/>
        <v>40.900000000000006</v>
      </c>
      <c r="DP113" s="44">
        <f t="shared" si="227"/>
        <v>83.9</v>
      </c>
      <c r="DQ113" s="44">
        <f t="shared" si="227"/>
        <v>83.9</v>
      </c>
      <c r="DR113" s="44">
        <f t="shared" si="227"/>
        <v>83.9</v>
      </c>
      <c r="DS113" s="44">
        <f t="shared" si="227"/>
        <v>83.9</v>
      </c>
      <c r="DT113" s="44">
        <f t="shared" si="227"/>
        <v>83.9</v>
      </c>
      <c r="DU113" s="43">
        <f t="shared" si="227"/>
        <v>83.9</v>
      </c>
      <c r="DV113" s="43">
        <f t="shared" si="227"/>
        <v>77.80000000000001</v>
      </c>
      <c r="DW113" s="43">
        <f t="shared" si="227"/>
        <v>50.70000000000001</v>
      </c>
      <c r="DX113" s="43">
        <f t="shared" si="227"/>
        <v>29.80000000000001</v>
      </c>
      <c r="DY113" s="43">
        <f t="shared" si="227"/>
        <v>44.80000000000001</v>
      </c>
      <c r="DZ113" s="43">
        <f t="shared" si="227"/>
        <v>44.80000000000001</v>
      </c>
      <c r="EA113" s="43">
        <f t="shared" si="227"/>
        <v>44.80000000000001</v>
      </c>
      <c r="EB113" s="43">
        <f t="shared" si="227"/>
        <v>44.80000000000001</v>
      </c>
      <c r="EC113" s="43">
        <f t="shared" si="227"/>
        <v>44.80000000000001</v>
      </c>
      <c r="ED113" s="43">
        <f aca="true" t="shared" si="228" ref="ED113:GO113">ED112-ED111</f>
        <v>40.90000000000001</v>
      </c>
      <c r="EE113" s="43">
        <f t="shared" si="228"/>
        <v>20.000000000000014</v>
      </c>
      <c r="EF113" s="43">
        <f t="shared" si="228"/>
        <v>35.000000000000014</v>
      </c>
      <c r="EG113" s="43">
        <f t="shared" si="228"/>
        <v>35.000000000000014</v>
      </c>
      <c r="EH113" s="43">
        <f t="shared" si="228"/>
        <v>20.000000000000014</v>
      </c>
      <c r="EI113" s="43">
        <f t="shared" si="228"/>
        <v>20.100000000000016</v>
      </c>
      <c r="EJ113" s="43">
        <f t="shared" si="228"/>
        <v>33.100000000000016</v>
      </c>
      <c r="EK113" s="43">
        <f t="shared" si="228"/>
        <v>33.100000000000016</v>
      </c>
      <c r="EL113" s="43">
        <f t="shared" si="228"/>
        <v>33.100000000000016</v>
      </c>
      <c r="EM113" s="43">
        <f t="shared" si="228"/>
        <v>33.100000000000016</v>
      </c>
      <c r="EN113" s="43">
        <f t="shared" si="228"/>
        <v>88.20000000000002</v>
      </c>
      <c r="EO113" s="43">
        <f t="shared" si="228"/>
        <v>92.10000000000002</v>
      </c>
      <c r="EP113" s="43">
        <f t="shared" si="228"/>
        <v>77.10000000000002</v>
      </c>
      <c r="EQ113" s="43">
        <f t="shared" si="228"/>
        <v>64.10000000000002</v>
      </c>
      <c r="ER113" s="43">
        <f t="shared" si="228"/>
        <v>64.10000000000002</v>
      </c>
      <c r="ES113" s="43">
        <f t="shared" si="228"/>
        <v>64.10000000000002</v>
      </c>
      <c r="ET113" s="43">
        <f t="shared" si="228"/>
        <v>64.10000000000002</v>
      </c>
      <c r="EU113" s="43">
        <f t="shared" si="228"/>
        <v>39.10000000000002</v>
      </c>
      <c r="EV113" s="43">
        <f t="shared" si="228"/>
        <v>39.10000000000002</v>
      </c>
      <c r="EW113" s="43">
        <f t="shared" si="228"/>
        <v>55.800000000000026</v>
      </c>
      <c r="EX113" s="43">
        <f t="shared" si="228"/>
        <v>30.800000000000026</v>
      </c>
      <c r="EY113" s="43">
        <f t="shared" si="228"/>
        <v>30.800000000000026</v>
      </c>
      <c r="EZ113" s="43">
        <f t="shared" si="228"/>
        <v>25.700000000000024</v>
      </c>
      <c r="FA113" s="43">
        <f t="shared" si="228"/>
        <v>25.700000000000024</v>
      </c>
      <c r="FB113" s="43">
        <f t="shared" si="228"/>
        <v>25.700000000000024</v>
      </c>
      <c r="FC113" s="43">
        <f t="shared" si="228"/>
        <v>25.700000000000024</v>
      </c>
      <c r="FD113" s="43">
        <f t="shared" si="228"/>
        <v>25.700000000000024</v>
      </c>
      <c r="FE113" s="43">
        <f t="shared" si="228"/>
        <v>25.700000000000024</v>
      </c>
      <c r="FF113" s="43">
        <f t="shared" si="228"/>
        <v>15.700000000000031</v>
      </c>
      <c r="FG113" s="43">
        <f t="shared" si="228"/>
        <v>15.700000000000031</v>
      </c>
      <c r="FH113" s="43">
        <f t="shared" si="228"/>
        <v>15.700000000000031</v>
      </c>
      <c r="FI113" s="43">
        <f t="shared" si="228"/>
        <v>15.700000000000031</v>
      </c>
      <c r="FJ113" s="43">
        <f t="shared" si="228"/>
        <v>15.700000000000031</v>
      </c>
      <c r="FK113" s="43">
        <f t="shared" si="228"/>
        <v>15.700000000000031</v>
      </c>
      <c r="FL113" s="43">
        <f t="shared" si="228"/>
        <v>15.700000000000031</v>
      </c>
      <c r="FM113" s="43">
        <f t="shared" si="228"/>
        <v>15.700000000000031</v>
      </c>
      <c r="FN113" s="43">
        <f t="shared" si="228"/>
        <v>15.700000000000031</v>
      </c>
      <c r="FO113" s="43">
        <f t="shared" si="228"/>
        <v>15.700000000000031</v>
      </c>
      <c r="FP113" s="43">
        <f t="shared" si="228"/>
        <v>15.700000000000031</v>
      </c>
      <c r="FQ113" s="43">
        <f t="shared" si="228"/>
        <v>15.700000000000031</v>
      </c>
      <c r="FR113" s="43">
        <f t="shared" si="228"/>
        <v>-17.39999999999997</v>
      </c>
      <c r="FS113" s="43">
        <f t="shared" si="228"/>
        <v>-17.39999999999997</v>
      </c>
      <c r="FT113" s="43">
        <f t="shared" si="228"/>
        <v>-17.39999999999997</v>
      </c>
      <c r="FU113" s="43">
        <f t="shared" si="228"/>
        <v>-17.39999999999997</v>
      </c>
      <c r="FV113" s="43">
        <f t="shared" si="228"/>
        <v>-17.39999999999997</v>
      </c>
      <c r="FW113" s="43">
        <f t="shared" si="228"/>
        <v>-17.39999999999997</v>
      </c>
      <c r="FX113" s="43">
        <f t="shared" si="228"/>
        <v>-17.39999999999997</v>
      </c>
      <c r="FY113" s="43">
        <f t="shared" si="228"/>
        <v>-17.39999999999997</v>
      </c>
      <c r="FZ113" s="43">
        <f t="shared" si="228"/>
        <v>-17.39999999999997</v>
      </c>
      <c r="GA113" s="43">
        <f t="shared" si="228"/>
        <v>-17.39999999999997</v>
      </c>
      <c r="GB113" s="43">
        <f t="shared" si="228"/>
        <v>-17.39999999999997</v>
      </c>
      <c r="GC113" s="43">
        <f t="shared" si="228"/>
        <v>-17.39999999999997</v>
      </c>
      <c r="GD113" s="43">
        <f t="shared" si="228"/>
        <v>-17.39999999999997</v>
      </c>
      <c r="GE113" s="43">
        <f t="shared" si="228"/>
        <v>-17.39999999999997</v>
      </c>
      <c r="GF113" s="43">
        <f t="shared" si="228"/>
        <v>-17.39999999999997</v>
      </c>
      <c r="GG113" s="43">
        <f t="shared" si="228"/>
        <v>-17.39999999999997</v>
      </c>
      <c r="GH113" s="43">
        <f t="shared" si="228"/>
        <v>-17.39999999999997</v>
      </c>
      <c r="GI113" s="43">
        <f t="shared" si="228"/>
        <v>-17.39999999999997</v>
      </c>
      <c r="GJ113" s="43">
        <f t="shared" si="228"/>
        <v>-17.39999999999997</v>
      </c>
      <c r="GK113" s="43">
        <f t="shared" si="228"/>
        <v>-17.39999999999997</v>
      </c>
      <c r="GL113" s="43">
        <f t="shared" si="228"/>
        <v>-17.39999999999997</v>
      </c>
      <c r="GM113" s="43">
        <f t="shared" si="228"/>
        <v>-17.39999999999997</v>
      </c>
      <c r="GN113" s="43">
        <f t="shared" si="228"/>
        <v>-17.39999999999997</v>
      </c>
      <c r="GO113" s="43">
        <f t="shared" si="228"/>
        <v>-17.39999999999997</v>
      </c>
    </row>
    <row r="114" spans="1:256" s="9" customFormat="1" ht="15">
      <c r="A114" s="4" t="s">
        <v>259</v>
      </c>
      <c r="B114" s="4"/>
      <c r="C114" s="12" t="s">
        <v>216</v>
      </c>
      <c r="D114" s="19">
        <v>23</v>
      </c>
      <c r="G114" s="19">
        <v>11.3</v>
      </c>
      <c r="N114" s="49">
        <v>24.7</v>
      </c>
      <c r="P114" s="19">
        <v>4.6</v>
      </c>
      <c r="Z114" s="29"/>
      <c r="AA114" s="50">
        <v>14</v>
      </c>
      <c r="AE114" s="60">
        <v>15.2</v>
      </c>
      <c r="AF114" s="9">
        <v>2.2</v>
      </c>
      <c r="AL114" s="19">
        <v>7.6</v>
      </c>
      <c r="AN114" s="19">
        <v>6.9</v>
      </c>
      <c r="AP114" s="19">
        <v>3</v>
      </c>
      <c r="AV114" s="19">
        <v>4.5</v>
      </c>
      <c r="AW114" s="50">
        <v>6.8</v>
      </c>
      <c r="BB114" s="19">
        <f>3.5+3.5</f>
        <v>7</v>
      </c>
      <c r="BH114" s="49">
        <v>4.5</v>
      </c>
      <c r="BT114" s="31"/>
      <c r="BU114" s="31"/>
      <c r="BV114" s="31"/>
      <c r="CC114" s="30">
        <v>13.3</v>
      </c>
      <c r="CG114" s="30">
        <v>1.5</v>
      </c>
      <c r="CH114" s="30">
        <v>8.7</v>
      </c>
      <c r="CJ114" s="19">
        <v>10</v>
      </c>
      <c r="CP114" s="19">
        <v>2.95</v>
      </c>
      <c r="CQ114" s="9">
        <v>4.5</v>
      </c>
      <c r="CR114" s="30">
        <v>6</v>
      </c>
      <c r="DD114" s="19">
        <v>2.6</v>
      </c>
      <c r="DE114" s="19">
        <v>0.2</v>
      </c>
      <c r="DG114" s="19">
        <v>4.2</v>
      </c>
      <c r="DN114" s="9">
        <v>0.4</v>
      </c>
      <c r="DP114" s="29">
        <v>7.8</v>
      </c>
      <c r="DQ114" s="19">
        <v>4.5</v>
      </c>
      <c r="DR114" s="19">
        <f>0.9+3.8</f>
        <v>4.7</v>
      </c>
      <c r="DS114" s="29"/>
      <c r="DT114" s="29"/>
      <c r="DX114" s="19">
        <v>3.8</v>
      </c>
      <c r="DY114" s="30">
        <v>4.6</v>
      </c>
      <c r="DZ114" s="9">
        <v>0.4</v>
      </c>
      <c r="EE114" s="30">
        <v>1.3</v>
      </c>
      <c r="EF114" s="19">
        <v>4.5</v>
      </c>
      <c r="EH114" s="19">
        <v>1.3</v>
      </c>
      <c r="EP114" s="98">
        <f>3.8+0.4</f>
        <v>4.2</v>
      </c>
      <c r="EQ114" s="19">
        <f>1.2+1.5</f>
        <v>2.7</v>
      </c>
      <c r="ER114" s="19">
        <v>5</v>
      </c>
      <c r="EW114" s="33">
        <f>0.9+1.4</f>
        <v>2.3</v>
      </c>
      <c r="FC114" s="19">
        <v>1.3</v>
      </c>
      <c r="FD114" s="9">
        <v>1.9</v>
      </c>
      <c r="FG114" s="99">
        <v>3.3</v>
      </c>
      <c r="FI114" s="99">
        <f>6+10</f>
        <v>16</v>
      </c>
      <c r="FP114" s="9">
        <v>11.7</v>
      </c>
      <c r="FR114" s="9">
        <v>25</v>
      </c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197" ht="15">
      <c r="A115" s="4"/>
      <c r="B115" s="4"/>
      <c r="C115" s="12" t="s">
        <v>217</v>
      </c>
      <c r="D115" s="14">
        <v>34.4</v>
      </c>
      <c r="E115" s="14">
        <f>D116</f>
        <v>11.399999999999999</v>
      </c>
      <c r="F115" s="65">
        <f>E116+11.3+6.8</f>
        <v>29.5</v>
      </c>
      <c r="G115" s="66">
        <f>F116+6.2</f>
        <v>35.7</v>
      </c>
      <c r="H115" s="14">
        <f aca="true" t="shared" si="229" ref="H115:BQ115">G116</f>
        <v>24.400000000000002</v>
      </c>
      <c r="I115" s="14">
        <f t="shared" si="229"/>
        <v>24.400000000000002</v>
      </c>
      <c r="J115" s="67">
        <f>I116+3.8</f>
        <v>28.200000000000003</v>
      </c>
      <c r="K115" s="14">
        <f t="shared" si="229"/>
        <v>28.200000000000003</v>
      </c>
      <c r="L115" s="14">
        <f t="shared" si="229"/>
        <v>28.200000000000003</v>
      </c>
      <c r="M115" s="14">
        <f t="shared" si="229"/>
        <v>28.200000000000003</v>
      </c>
      <c r="N115" s="14">
        <f>M116+14</f>
        <v>42.2</v>
      </c>
      <c r="O115" s="14">
        <f t="shared" si="229"/>
        <v>17.500000000000004</v>
      </c>
      <c r="P115" s="14">
        <f t="shared" si="229"/>
        <v>17.500000000000004</v>
      </c>
      <c r="Q115" s="14">
        <f t="shared" si="229"/>
        <v>12.900000000000004</v>
      </c>
      <c r="R115" s="14">
        <f t="shared" si="229"/>
        <v>12.900000000000004</v>
      </c>
      <c r="S115" s="14">
        <f t="shared" si="229"/>
        <v>12.900000000000004</v>
      </c>
      <c r="T115" s="14">
        <f t="shared" si="229"/>
        <v>12.900000000000004</v>
      </c>
      <c r="U115" s="14">
        <f t="shared" si="229"/>
        <v>12.900000000000004</v>
      </c>
      <c r="V115" s="14">
        <f t="shared" si="229"/>
        <v>12.900000000000004</v>
      </c>
      <c r="W115" s="14">
        <f t="shared" si="229"/>
        <v>12.900000000000004</v>
      </c>
      <c r="X115" s="14">
        <f t="shared" si="229"/>
        <v>12.900000000000004</v>
      </c>
      <c r="Y115" s="14">
        <f t="shared" si="229"/>
        <v>12.900000000000004</v>
      </c>
      <c r="Z115" s="14">
        <f t="shared" si="229"/>
        <v>12.900000000000004</v>
      </c>
      <c r="AA115" s="65">
        <f>Z116+1.4+12.6+15.2</f>
        <v>42.10000000000001</v>
      </c>
      <c r="AB115" s="14">
        <f t="shared" si="229"/>
        <v>28.10000000000001</v>
      </c>
      <c r="AC115" s="14">
        <f t="shared" si="229"/>
        <v>28.10000000000001</v>
      </c>
      <c r="AD115" s="14">
        <f t="shared" si="229"/>
        <v>28.10000000000001</v>
      </c>
      <c r="AE115" s="52">
        <f>AD116+3.8</f>
        <v>31.90000000000001</v>
      </c>
      <c r="AF115" s="14">
        <f>AE116+0.9+1.3</f>
        <v>18.90000000000001</v>
      </c>
      <c r="AG115" s="14">
        <f t="shared" si="229"/>
        <v>16.70000000000001</v>
      </c>
      <c r="AH115" s="14">
        <f t="shared" si="229"/>
        <v>16.70000000000001</v>
      </c>
      <c r="AI115" s="14">
        <f t="shared" si="229"/>
        <v>16.70000000000001</v>
      </c>
      <c r="AJ115" s="14">
        <f t="shared" si="229"/>
        <v>16.70000000000001</v>
      </c>
      <c r="AK115" s="14">
        <f t="shared" si="229"/>
        <v>16.70000000000001</v>
      </c>
      <c r="AL115" s="14">
        <f t="shared" si="229"/>
        <v>16.70000000000001</v>
      </c>
      <c r="AM115" s="14">
        <f t="shared" si="229"/>
        <v>9.10000000000001</v>
      </c>
      <c r="AN115" s="14">
        <f>AM116+6.9</f>
        <v>16.00000000000001</v>
      </c>
      <c r="AO115" s="14">
        <f t="shared" si="229"/>
        <v>9.10000000000001</v>
      </c>
      <c r="AP115" s="14">
        <f t="shared" si="229"/>
        <v>9.10000000000001</v>
      </c>
      <c r="AQ115" s="14">
        <f t="shared" si="229"/>
        <v>6.10000000000001</v>
      </c>
      <c r="AR115" s="14">
        <f t="shared" si="229"/>
        <v>6.10000000000001</v>
      </c>
      <c r="AS115" s="14">
        <f t="shared" si="229"/>
        <v>6.10000000000001</v>
      </c>
      <c r="AT115" s="14">
        <f t="shared" si="229"/>
        <v>6.10000000000001</v>
      </c>
      <c r="AU115" s="14">
        <f t="shared" si="229"/>
        <v>6.10000000000001</v>
      </c>
      <c r="AV115" s="52">
        <f>AU116+4.5</f>
        <v>10.60000000000001</v>
      </c>
      <c r="AW115" s="65">
        <f>AV116+6.8</f>
        <v>12.90000000000001</v>
      </c>
      <c r="AX115" s="14">
        <f t="shared" si="229"/>
        <v>6.100000000000009</v>
      </c>
      <c r="AY115" s="14">
        <f t="shared" si="229"/>
        <v>6.100000000000009</v>
      </c>
      <c r="AZ115" s="14">
        <f t="shared" si="229"/>
        <v>6.100000000000009</v>
      </c>
      <c r="BA115" s="14">
        <f t="shared" si="229"/>
        <v>6.100000000000009</v>
      </c>
      <c r="BB115" s="52">
        <f>BA116+3.5+3.5+3.8</f>
        <v>16.90000000000001</v>
      </c>
      <c r="BC115" s="14">
        <f t="shared" si="229"/>
        <v>9.90000000000001</v>
      </c>
      <c r="BD115" s="14">
        <f t="shared" si="229"/>
        <v>9.90000000000001</v>
      </c>
      <c r="BE115" s="14">
        <f t="shared" si="229"/>
        <v>9.90000000000001</v>
      </c>
      <c r="BF115" s="14">
        <f t="shared" si="229"/>
        <v>9.90000000000001</v>
      </c>
      <c r="BG115" s="14">
        <f t="shared" si="229"/>
        <v>9.90000000000001</v>
      </c>
      <c r="BH115" s="67">
        <f>BG116+4.5</f>
        <v>14.40000000000001</v>
      </c>
      <c r="BI115" s="14">
        <f t="shared" si="229"/>
        <v>9.90000000000001</v>
      </c>
      <c r="BJ115" s="14">
        <f t="shared" si="229"/>
        <v>9.90000000000001</v>
      </c>
      <c r="BK115" s="14">
        <f t="shared" si="229"/>
        <v>9.90000000000001</v>
      </c>
      <c r="BL115" s="14">
        <f t="shared" si="229"/>
        <v>9.90000000000001</v>
      </c>
      <c r="BM115" s="14">
        <f t="shared" si="229"/>
        <v>9.90000000000001</v>
      </c>
      <c r="BN115" s="14">
        <f t="shared" si="229"/>
        <v>9.90000000000001</v>
      </c>
      <c r="BO115" s="14">
        <f t="shared" si="229"/>
        <v>9.90000000000001</v>
      </c>
      <c r="BP115" s="14">
        <f>BO116+1.4</f>
        <v>11.30000000000001</v>
      </c>
      <c r="BQ115" s="14">
        <f t="shared" si="229"/>
        <v>11.30000000000001</v>
      </c>
      <c r="BR115" s="14">
        <f aca="true" t="shared" si="230" ref="BR115:EC115">BQ116</f>
        <v>11.30000000000001</v>
      </c>
      <c r="BS115" s="14">
        <f t="shared" si="230"/>
        <v>11.30000000000001</v>
      </c>
      <c r="BT115" s="26">
        <f t="shared" si="230"/>
        <v>11.30000000000001</v>
      </c>
      <c r="BU115" s="26">
        <f t="shared" si="230"/>
        <v>11.30000000000001</v>
      </c>
      <c r="BV115" s="26">
        <f t="shared" si="230"/>
        <v>11.30000000000001</v>
      </c>
      <c r="BW115" s="14">
        <f t="shared" si="230"/>
        <v>11.30000000000001</v>
      </c>
      <c r="BX115" s="14">
        <f t="shared" si="230"/>
        <v>11.30000000000001</v>
      </c>
      <c r="BY115" s="14">
        <f t="shared" si="230"/>
        <v>11.30000000000001</v>
      </c>
      <c r="BZ115" s="14">
        <f t="shared" si="230"/>
        <v>11.30000000000001</v>
      </c>
      <c r="CA115" s="14">
        <f t="shared" si="230"/>
        <v>11.30000000000001</v>
      </c>
      <c r="CB115" s="14">
        <f>CA116+10+1.8</f>
        <v>23.100000000000012</v>
      </c>
      <c r="CC115" s="14">
        <f>CB116+5+4.5+6.9</f>
        <v>39.50000000000001</v>
      </c>
      <c r="CD115" s="14">
        <f>CC116+1.5</f>
        <v>27.700000000000006</v>
      </c>
      <c r="CE115" s="14">
        <f t="shared" si="230"/>
        <v>27.700000000000006</v>
      </c>
      <c r="CF115" s="14">
        <f t="shared" si="230"/>
        <v>27.700000000000006</v>
      </c>
      <c r="CG115" s="14">
        <f t="shared" si="230"/>
        <v>27.700000000000006</v>
      </c>
      <c r="CH115" s="14">
        <f t="shared" si="230"/>
        <v>26.200000000000006</v>
      </c>
      <c r="CI115" s="14">
        <f t="shared" si="230"/>
        <v>17.500000000000007</v>
      </c>
      <c r="CJ115" s="14">
        <f>CI116</f>
        <v>17.500000000000007</v>
      </c>
      <c r="CK115" s="14">
        <f t="shared" si="230"/>
        <v>7.500000000000007</v>
      </c>
      <c r="CL115" s="14">
        <f t="shared" si="230"/>
        <v>7.500000000000007</v>
      </c>
      <c r="CM115" s="14">
        <f t="shared" si="230"/>
        <v>7.500000000000007</v>
      </c>
      <c r="CN115" s="14">
        <f>CM116+4.5+0.4</f>
        <v>12.400000000000007</v>
      </c>
      <c r="CO115" s="14">
        <f>CN116+3.8</f>
        <v>16.200000000000006</v>
      </c>
      <c r="CP115" s="14">
        <f>CO116+1.65+1.3</f>
        <v>19.150000000000006</v>
      </c>
      <c r="CQ115" s="14">
        <f t="shared" si="230"/>
        <v>16.200000000000006</v>
      </c>
      <c r="CR115" s="14">
        <f>CQ116+6</f>
        <v>17.700000000000006</v>
      </c>
      <c r="CS115" s="14">
        <f t="shared" si="230"/>
        <v>11.700000000000006</v>
      </c>
      <c r="CT115" s="14">
        <f t="shared" si="230"/>
        <v>11.700000000000006</v>
      </c>
      <c r="CU115" s="14">
        <f>CT116+3</f>
        <v>14.700000000000006</v>
      </c>
      <c r="CV115" s="14">
        <f t="shared" si="230"/>
        <v>14.700000000000006</v>
      </c>
      <c r="CW115" s="14">
        <f t="shared" si="230"/>
        <v>14.700000000000006</v>
      </c>
      <c r="CX115" s="14">
        <f>CW116+0.4+0.4</f>
        <v>15.500000000000007</v>
      </c>
      <c r="CY115" s="14">
        <f t="shared" si="230"/>
        <v>15.500000000000007</v>
      </c>
      <c r="CZ115" s="14">
        <f t="shared" si="230"/>
        <v>15.500000000000007</v>
      </c>
      <c r="DA115" s="14">
        <f t="shared" si="230"/>
        <v>15.500000000000007</v>
      </c>
      <c r="DB115" s="14">
        <f>DA116+1.7</f>
        <v>17.200000000000006</v>
      </c>
      <c r="DC115" s="14">
        <f t="shared" si="230"/>
        <v>17.200000000000006</v>
      </c>
      <c r="DD115" s="14">
        <f>DC116</f>
        <v>17.200000000000006</v>
      </c>
      <c r="DE115" s="14">
        <f>DD116+0.2</f>
        <v>14.800000000000006</v>
      </c>
      <c r="DF115" s="14">
        <f t="shared" si="230"/>
        <v>14.600000000000007</v>
      </c>
      <c r="DG115" s="52">
        <f>DF116+4.2</f>
        <v>18.800000000000008</v>
      </c>
      <c r="DH115" s="14">
        <f t="shared" si="230"/>
        <v>14.600000000000009</v>
      </c>
      <c r="DI115" s="14">
        <f t="shared" si="230"/>
        <v>14.600000000000009</v>
      </c>
      <c r="DJ115" s="14">
        <f t="shared" si="230"/>
        <v>14.600000000000009</v>
      </c>
      <c r="DK115" s="14">
        <f t="shared" si="230"/>
        <v>14.600000000000009</v>
      </c>
      <c r="DL115" s="14">
        <f>DK116+4.7+3.1</f>
        <v>22.40000000000001</v>
      </c>
      <c r="DM115" s="14">
        <f t="shared" si="230"/>
        <v>22.40000000000001</v>
      </c>
      <c r="DN115" s="14">
        <f>DM116+0.4</f>
        <v>22.800000000000008</v>
      </c>
      <c r="DO115" s="14">
        <f>DN116</f>
        <v>22.40000000000001</v>
      </c>
      <c r="DP115" s="15">
        <f t="shared" si="230"/>
        <v>22.40000000000001</v>
      </c>
      <c r="DQ115" s="15">
        <f>DP116+4.5</f>
        <v>19.10000000000001</v>
      </c>
      <c r="DR115" s="15">
        <f>DQ116+0.9</f>
        <v>15.500000000000009</v>
      </c>
      <c r="DS115" s="15">
        <f t="shared" si="230"/>
        <v>10.800000000000008</v>
      </c>
      <c r="DT115" s="15">
        <f t="shared" si="230"/>
        <v>10.800000000000008</v>
      </c>
      <c r="DU115" s="14">
        <f t="shared" si="230"/>
        <v>10.800000000000008</v>
      </c>
      <c r="DV115" s="14">
        <f>DU116+1.9+0.8</f>
        <v>13.500000000000009</v>
      </c>
      <c r="DW115" s="14">
        <f>DV116+9.2</f>
        <v>22.70000000000001</v>
      </c>
      <c r="DX115" s="14">
        <f t="shared" si="230"/>
        <v>22.70000000000001</v>
      </c>
      <c r="DY115" s="14">
        <f>DX116+4.5</f>
        <v>23.40000000000001</v>
      </c>
      <c r="DZ115" s="14">
        <f>DY116+0.4</f>
        <v>19.20000000000001</v>
      </c>
      <c r="EA115" s="14">
        <f t="shared" si="230"/>
        <v>18.80000000000001</v>
      </c>
      <c r="EB115" s="14">
        <f t="shared" si="230"/>
        <v>18.80000000000001</v>
      </c>
      <c r="EC115" s="14">
        <f t="shared" si="230"/>
        <v>18.80000000000001</v>
      </c>
      <c r="ED115" s="14">
        <f aca="true" t="shared" si="231" ref="ED115:GO115">EC116</f>
        <v>18.80000000000001</v>
      </c>
      <c r="EE115" s="14">
        <f>ED116+6.8</f>
        <v>25.600000000000012</v>
      </c>
      <c r="EF115" s="14">
        <f t="shared" si="231"/>
        <v>24.30000000000001</v>
      </c>
      <c r="EG115" s="14">
        <f t="shared" si="231"/>
        <v>19.80000000000001</v>
      </c>
      <c r="EH115" s="14">
        <f t="shared" si="231"/>
        <v>19.80000000000001</v>
      </c>
      <c r="EI115" s="14">
        <f>EH116+5+4.5</f>
        <v>28.00000000000001</v>
      </c>
      <c r="EJ115" s="14">
        <f>EI116+1.3+1.4</f>
        <v>30.70000000000001</v>
      </c>
      <c r="EK115" s="14">
        <f t="shared" si="231"/>
        <v>30.70000000000001</v>
      </c>
      <c r="EL115" s="14">
        <f>EK116+3.8+0.4</f>
        <v>34.900000000000006</v>
      </c>
      <c r="EM115" s="14">
        <f t="shared" si="231"/>
        <v>34.900000000000006</v>
      </c>
      <c r="EN115" s="14">
        <f t="shared" si="231"/>
        <v>34.900000000000006</v>
      </c>
      <c r="EO115" s="14">
        <f t="shared" si="231"/>
        <v>34.900000000000006</v>
      </c>
      <c r="EP115" s="14">
        <f t="shared" si="231"/>
        <v>34.900000000000006</v>
      </c>
      <c r="EQ115" s="14">
        <f>EP116+1.2+1.5</f>
        <v>33.400000000000006</v>
      </c>
      <c r="ER115" s="14">
        <f>EQ116+0.8</f>
        <v>31.500000000000007</v>
      </c>
      <c r="ES115" s="14">
        <f>ER116</f>
        <v>26.500000000000007</v>
      </c>
      <c r="ET115" s="14">
        <f>ES116</f>
        <v>26.500000000000007</v>
      </c>
      <c r="EU115" s="14">
        <f t="shared" si="231"/>
        <v>26.500000000000007</v>
      </c>
      <c r="EV115" s="14">
        <f t="shared" si="231"/>
        <v>26.500000000000007</v>
      </c>
      <c r="EW115" s="14">
        <f>EV116+1.4+0.9</f>
        <v>28.800000000000004</v>
      </c>
      <c r="EX115" s="14">
        <f t="shared" si="231"/>
        <v>26.500000000000004</v>
      </c>
      <c r="EY115" s="14">
        <f t="shared" si="231"/>
        <v>26.500000000000004</v>
      </c>
      <c r="EZ115" s="14">
        <f>EY116+4.5+11.7</f>
        <v>42.7</v>
      </c>
      <c r="FA115" s="14">
        <f t="shared" si="231"/>
        <v>42.7</v>
      </c>
      <c r="FB115" s="14">
        <f t="shared" si="231"/>
        <v>42.7</v>
      </c>
      <c r="FC115" s="14">
        <f t="shared" si="231"/>
        <v>42.7</v>
      </c>
      <c r="FD115" s="14">
        <f t="shared" si="231"/>
        <v>41.400000000000006</v>
      </c>
      <c r="FE115" s="14">
        <f t="shared" si="231"/>
        <v>39.50000000000001</v>
      </c>
      <c r="FF115" s="14">
        <f t="shared" si="231"/>
        <v>39.50000000000001</v>
      </c>
      <c r="FG115" s="14">
        <f t="shared" si="231"/>
        <v>39.50000000000001</v>
      </c>
      <c r="FH115" s="14">
        <f>FG116+3+1+0.6+0.3</f>
        <v>41.10000000000001</v>
      </c>
      <c r="FI115" s="14">
        <f>FH116+6+10</f>
        <v>57.10000000000001</v>
      </c>
      <c r="FJ115" s="14">
        <f t="shared" si="231"/>
        <v>41.10000000000001</v>
      </c>
      <c r="FK115" s="14">
        <f t="shared" si="231"/>
        <v>41.10000000000001</v>
      </c>
      <c r="FL115" s="14">
        <f t="shared" si="231"/>
        <v>41.10000000000001</v>
      </c>
      <c r="FM115" s="14">
        <f t="shared" si="231"/>
        <v>41.10000000000001</v>
      </c>
      <c r="FN115" s="14">
        <f t="shared" si="231"/>
        <v>41.10000000000001</v>
      </c>
      <c r="FO115" s="14">
        <f t="shared" si="231"/>
        <v>41.10000000000001</v>
      </c>
      <c r="FP115" s="14">
        <f t="shared" si="231"/>
        <v>41.10000000000001</v>
      </c>
      <c r="FQ115" s="14">
        <f t="shared" si="231"/>
        <v>29.40000000000001</v>
      </c>
      <c r="FR115" s="14">
        <f t="shared" si="231"/>
        <v>29.40000000000001</v>
      </c>
      <c r="FS115" s="14">
        <f t="shared" si="231"/>
        <v>4.400000000000009</v>
      </c>
      <c r="FT115" s="14">
        <f t="shared" si="231"/>
        <v>4.400000000000009</v>
      </c>
      <c r="FU115" s="14">
        <f t="shared" si="231"/>
        <v>4.400000000000009</v>
      </c>
      <c r="FV115" s="14">
        <f t="shared" si="231"/>
        <v>4.400000000000009</v>
      </c>
      <c r="FW115" s="14">
        <f t="shared" si="231"/>
        <v>4.400000000000009</v>
      </c>
      <c r="FX115" s="14">
        <f t="shared" si="231"/>
        <v>4.400000000000009</v>
      </c>
      <c r="FY115" s="14">
        <f t="shared" si="231"/>
        <v>4.400000000000009</v>
      </c>
      <c r="FZ115" s="14">
        <f t="shared" si="231"/>
        <v>4.400000000000009</v>
      </c>
      <c r="GA115" s="14">
        <f t="shared" si="231"/>
        <v>4.400000000000009</v>
      </c>
      <c r="GB115" s="14">
        <f t="shared" si="231"/>
        <v>4.400000000000009</v>
      </c>
      <c r="GC115" s="14">
        <f t="shared" si="231"/>
        <v>4.400000000000009</v>
      </c>
      <c r="GD115" s="14">
        <f t="shared" si="231"/>
        <v>4.400000000000009</v>
      </c>
      <c r="GE115" s="14">
        <f t="shared" si="231"/>
        <v>4.400000000000009</v>
      </c>
      <c r="GF115" s="14">
        <f t="shared" si="231"/>
        <v>4.400000000000009</v>
      </c>
      <c r="GG115" s="14">
        <f t="shared" si="231"/>
        <v>4.400000000000009</v>
      </c>
      <c r="GH115" s="14">
        <f t="shared" si="231"/>
        <v>4.400000000000009</v>
      </c>
      <c r="GI115" s="14">
        <f t="shared" si="231"/>
        <v>4.400000000000009</v>
      </c>
      <c r="GJ115" s="14">
        <f t="shared" si="231"/>
        <v>4.400000000000009</v>
      </c>
      <c r="GK115" s="14">
        <f t="shared" si="231"/>
        <v>4.400000000000009</v>
      </c>
      <c r="GL115" s="14">
        <f t="shared" si="231"/>
        <v>4.400000000000009</v>
      </c>
      <c r="GM115" s="14">
        <f t="shared" si="231"/>
        <v>4.400000000000009</v>
      </c>
      <c r="GN115" s="14">
        <f t="shared" si="231"/>
        <v>4.400000000000009</v>
      </c>
      <c r="GO115" s="14">
        <f t="shared" si="231"/>
        <v>4.400000000000009</v>
      </c>
    </row>
    <row r="116" spans="1:197" ht="15">
      <c r="A116" s="4"/>
      <c r="B116" s="4"/>
      <c r="C116" s="12" t="s">
        <v>218</v>
      </c>
      <c r="D116" s="16">
        <f>D115-D114</f>
        <v>11.399999999999999</v>
      </c>
      <c r="E116" s="16">
        <f>E115-E114</f>
        <v>11.399999999999999</v>
      </c>
      <c r="F116" s="16">
        <f aca="true" t="shared" si="232" ref="F116:BQ116">F115-F114</f>
        <v>29.5</v>
      </c>
      <c r="G116" s="16">
        <f t="shared" si="232"/>
        <v>24.400000000000002</v>
      </c>
      <c r="H116" s="16">
        <f>H115-H114</f>
        <v>24.400000000000002</v>
      </c>
      <c r="I116" s="16">
        <f t="shared" si="232"/>
        <v>24.400000000000002</v>
      </c>
      <c r="J116" s="16">
        <f>J115-J114</f>
        <v>28.200000000000003</v>
      </c>
      <c r="K116" s="16">
        <f t="shared" si="232"/>
        <v>28.200000000000003</v>
      </c>
      <c r="L116" s="16">
        <f t="shared" si="232"/>
        <v>28.200000000000003</v>
      </c>
      <c r="M116" s="16">
        <f t="shared" si="232"/>
        <v>28.200000000000003</v>
      </c>
      <c r="N116" s="16">
        <f t="shared" si="232"/>
        <v>17.500000000000004</v>
      </c>
      <c r="O116" s="16">
        <f t="shared" si="232"/>
        <v>17.500000000000004</v>
      </c>
      <c r="P116" s="16">
        <f t="shared" si="232"/>
        <v>12.900000000000004</v>
      </c>
      <c r="Q116" s="16">
        <f t="shared" si="232"/>
        <v>12.900000000000004</v>
      </c>
      <c r="R116" s="16">
        <f t="shared" si="232"/>
        <v>12.900000000000004</v>
      </c>
      <c r="S116" s="16">
        <f t="shared" si="232"/>
        <v>12.900000000000004</v>
      </c>
      <c r="T116" s="16">
        <f t="shared" si="232"/>
        <v>12.900000000000004</v>
      </c>
      <c r="U116" s="16">
        <f t="shared" si="232"/>
        <v>12.900000000000004</v>
      </c>
      <c r="V116" s="16">
        <f t="shared" si="232"/>
        <v>12.900000000000004</v>
      </c>
      <c r="W116" s="16">
        <f t="shared" si="232"/>
        <v>12.900000000000004</v>
      </c>
      <c r="X116" s="16">
        <f t="shared" si="232"/>
        <v>12.900000000000004</v>
      </c>
      <c r="Y116" s="16">
        <f t="shared" si="232"/>
        <v>12.900000000000004</v>
      </c>
      <c r="Z116" s="16">
        <f t="shared" si="232"/>
        <v>12.900000000000004</v>
      </c>
      <c r="AA116" s="16">
        <f t="shared" si="232"/>
        <v>28.10000000000001</v>
      </c>
      <c r="AB116" s="16">
        <f t="shared" si="232"/>
        <v>28.10000000000001</v>
      </c>
      <c r="AC116" s="16">
        <f t="shared" si="232"/>
        <v>28.10000000000001</v>
      </c>
      <c r="AD116" s="16">
        <f t="shared" si="232"/>
        <v>28.10000000000001</v>
      </c>
      <c r="AE116" s="16">
        <f t="shared" si="232"/>
        <v>16.70000000000001</v>
      </c>
      <c r="AF116" s="16">
        <f t="shared" si="232"/>
        <v>16.70000000000001</v>
      </c>
      <c r="AG116" s="16">
        <f t="shared" si="232"/>
        <v>16.70000000000001</v>
      </c>
      <c r="AH116" s="16">
        <f t="shared" si="232"/>
        <v>16.70000000000001</v>
      </c>
      <c r="AI116" s="16">
        <f t="shared" si="232"/>
        <v>16.70000000000001</v>
      </c>
      <c r="AJ116" s="16">
        <f t="shared" si="232"/>
        <v>16.70000000000001</v>
      </c>
      <c r="AK116" s="16">
        <f t="shared" si="232"/>
        <v>16.70000000000001</v>
      </c>
      <c r="AL116" s="16">
        <f t="shared" si="232"/>
        <v>9.10000000000001</v>
      </c>
      <c r="AM116" s="16">
        <f t="shared" si="232"/>
        <v>9.10000000000001</v>
      </c>
      <c r="AN116" s="16">
        <f t="shared" si="232"/>
        <v>9.10000000000001</v>
      </c>
      <c r="AO116" s="16">
        <f t="shared" si="232"/>
        <v>9.10000000000001</v>
      </c>
      <c r="AP116" s="16">
        <f t="shared" si="232"/>
        <v>6.10000000000001</v>
      </c>
      <c r="AQ116" s="16">
        <f t="shared" si="232"/>
        <v>6.10000000000001</v>
      </c>
      <c r="AR116" s="16">
        <f t="shared" si="232"/>
        <v>6.10000000000001</v>
      </c>
      <c r="AS116" s="16">
        <f t="shared" si="232"/>
        <v>6.10000000000001</v>
      </c>
      <c r="AT116" s="16">
        <f t="shared" si="232"/>
        <v>6.10000000000001</v>
      </c>
      <c r="AU116" s="16">
        <f t="shared" si="232"/>
        <v>6.10000000000001</v>
      </c>
      <c r="AV116" s="16">
        <f t="shared" si="232"/>
        <v>6.10000000000001</v>
      </c>
      <c r="AW116" s="16">
        <f t="shared" si="232"/>
        <v>6.100000000000009</v>
      </c>
      <c r="AX116" s="16">
        <f t="shared" si="232"/>
        <v>6.100000000000009</v>
      </c>
      <c r="AY116" s="16">
        <f t="shared" si="232"/>
        <v>6.100000000000009</v>
      </c>
      <c r="AZ116" s="16">
        <f t="shared" si="232"/>
        <v>6.100000000000009</v>
      </c>
      <c r="BA116" s="16">
        <f t="shared" si="232"/>
        <v>6.100000000000009</v>
      </c>
      <c r="BB116" s="16">
        <f t="shared" si="232"/>
        <v>9.90000000000001</v>
      </c>
      <c r="BC116" s="16">
        <f t="shared" si="232"/>
        <v>9.90000000000001</v>
      </c>
      <c r="BD116" s="16">
        <f t="shared" si="232"/>
        <v>9.90000000000001</v>
      </c>
      <c r="BE116" s="16">
        <f t="shared" si="232"/>
        <v>9.90000000000001</v>
      </c>
      <c r="BF116" s="16">
        <f t="shared" si="232"/>
        <v>9.90000000000001</v>
      </c>
      <c r="BG116" s="16">
        <f t="shared" si="232"/>
        <v>9.90000000000001</v>
      </c>
      <c r="BH116" s="16">
        <f t="shared" si="232"/>
        <v>9.90000000000001</v>
      </c>
      <c r="BI116" s="16">
        <f t="shared" si="232"/>
        <v>9.90000000000001</v>
      </c>
      <c r="BJ116" s="16">
        <f t="shared" si="232"/>
        <v>9.90000000000001</v>
      </c>
      <c r="BK116" s="16">
        <f t="shared" si="232"/>
        <v>9.90000000000001</v>
      </c>
      <c r="BL116" s="16">
        <f t="shared" si="232"/>
        <v>9.90000000000001</v>
      </c>
      <c r="BM116" s="16">
        <f t="shared" si="232"/>
        <v>9.90000000000001</v>
      </c>
      <c r="BN116" s="16">
        <f t="shared" si="232"/>
        <v>9.90000000000001</v>
      </c>
      <c r="BO116" s="16">
        <f t="shared" si="232"/>
        <v>9.90000000000001</v>
      </c>
      <c r="BP116" s="16">
        <f t="shared" si="232"/>
        <v>11.30000000000001</v>
      </c>
      <c r="BQ116" s="16">
        <f t="shared" si="232"/>
        <v>11.30000000000001</v>
      </c>
      <c r="BR116" s="16">
        <f aca="true" t="shared" si="233" ref="BR116:EC116">BR115-BR114</f>
        <v>11.30000000000001</v>
      </c>
      <c r="BS116" s="16">
        <f t="shared" si="233"/>
        <v>11.30000000000001</v>
      </c>
      <c r="BT116" s="27">
        <f t="shared" si="233"/>
        <v>11.30000000000001</v>
      </c>
      <c r="BU116" s="27">
        <f t="shared" si="233"/>
        <v>11.30000000000001</v>
      </c>
      <c r="BV116" s="27">
        <f t="shared" si="233"/>
        <v>11.30000000000001</v>
      </c>
      <c r="BW116" s="16">
        <f t="shared" si="233"/>
        <v>11.30000000000001</v>
      </c>
      <c r="BX116" s="16">
        <f t="shared" si="233"/>
        <v>11.30000000000001</v>
      </c>
      <c r="BY116" s="16">
        <f t="shared" si="233"/>
        <v>11.30000000000001</v>
      </c>
      <c r="BZ116" s="16">
        <f t="shared" si="233"/>
        <v>11.30000000000001</v>
      </c>
      <c r="CA116" s="16">
        <f t="shared" si="233"/>
        <v>11.30000000000001</v>
      </c>
      <c r="CB116" s="16">
        <f t="shared" si="233"/>
        <v>23.100000000000012</v>
      </c>
      <c r="CC116" s="16">
        <f t="shared" si="233"/>
        <v>26.200000000000006</v>
      </c>
      <c r="CD116" s="16">
        <f t="shared" si="233"/>
        <v>27.700000000000006</v>
      </c>
      <c r="CE116" s="16">
        <f t="shared" si="233"/>
        <v>27.700000000000006</v>
      </c>
      <c r="CF116" s="16">
        <f t="shared" si="233"/>
        <v>27.700000000000006</v>
      </c>
      <c r="CG116" s="16">
        <f t="shared" si="233"/>
        <v>26.200000000000006</v>
      </c>
      <c r="CH116" s="16">
        <f t="shared" si="233"/>
        <v>17.500000000000007</v>
      </c>
      <c r="CI116" s="16">
        <f t="shared" si="233"/>
        <v>17.500000000000007</v>
      </c>
      <c r="CJ116" s="16">
        <f t="shared" si="233"/>
        <v>7.500000000000007</v>
      </c>
      <c r="CK116" s="16">
        <f t="shared" si="233"/>
        <v>7.500000000000007</v>
      </c>
      <c r="CL116" s="16">
        <f t="shared" si="233"/>
        <v>7.500000000000007</v>
      </c>
      <c r="CM116" s="16">
        <f t="shared" si="233"/>
        <v>7.500000000000007</v>
      </c>
      <c r="CN116" s="16">
        <f t="shared" si="233"/>
        <v>12.400000000000007</v>
      </c>
      <c r="CO116" s="16">
        <f t="shared" si="233"/>
        <v>16.200000000000006</v>
      </c>
      <c r="CP116" s="16">
        <f t="shared" si="233"/>
        <v>16.200000000000006</v>
      </c>
      <c r="CQ116" s="16">
        <f t="shared" si="233"/>
        <v>11.700000000000006</v>
      </c>
      <c r="CR116" s="16">
        <f t="shared" si="233"/>
        <v>11.700000000000006</v>
      </c>
      <c r="CS116" s="16">
        <f t="shared" si="233"/>
        <v>11.700000000000006</v>
      </c>
      <c r="CT116" s="16">
        <f t="shared" si="233"/>
        <v>11.700000000000006</v>
      </c>
      <c r="CU116" s="16">
        <f t="shared" si="233"/>
        <v>14.700000000000006</v>
      </c>
      <c r="CV116" s="16">
        <f t="shared" si="233"/>
        <v>14.700000000000006</v>
      </c>
      <c r="CW116" s="16">
        <f t="shared" si="233"/>
        <v>14.700000000000006</v>
      </c>
      <c r="CX116" s="16">
        <f t="shared" si="233"/>
        <v>15.500000000000007</v>
      </c>
      <c r="CY116" s="16">
        <f t="shared" si="233"/>
        <v>15.500000000000007</v>
      </c>
      <c r="CZ116" s="16">
        <f t="shared" si="233"/>
        <v>15.500000000000007</v>
      </c>
      <c r="DA116" s="16">
        <f t="shared" si="233"/>
        <v>15.500000000000007</v>
      </c>
      <c r="DB116" s="16">
        <f t="shared" si="233"/>
        <v>17.200000000000006</v>
      </c>
      <c r="DC116" s="16">
        <f t="shared" si="233"/>
        <v>17.200000000000006</v>
      </c>
      <c r="DD116" s="16">
        <f t="shared" si="233"/>
        <v>14.600000000000007</v>
      </c>
      <c r="DE116" s="16">
        <f t="shared" si="233"/>
        <v>14.600000000000007</v>
      </c>
      <c r="DF116" s="16">
        <f t="shared" si="233"/>
        <v>14.600000000000007</v>
      </c>
      <c r="DG116" s="16">
        <f t="shared" si="233"/>
        <v>14.600000000000009</v>
      </c>
      <c r="DH116" s="16">
        <f t="shared" si="233"/>
        <v>14.600000000000009</v>
      </c>
      <c r="DI116" s="16">
        <f t="shared" si="233"/>
        <v>14.600000000000009</v>
      </c>
      <c r="DJ116" s="16">
        <f t="shared" si="233"/>
        <v>14.600000000000009</v>
      </c>
      <c r="DK116" s="16">
        <f t="shared" si="233"/>
        <v>14.600000000000009</v>
      </c>
      <c r="DL116" s="16">
        <f t="shared" si="233"/>
        <v>22.40000000000001</v>
      </c>
      <c r="DM116" s="16">
        <f t="shared" si="233"/>
        <v>22.40000000000001</v>
      </c>
      <c r="DN116" s="16">
        <f t="shared" si="233"/>
        <v>22.40000000000001</v>
      </c>
      <c r="DO116" s="16">
        <f t="shared" si="233"/>
        <v>22.40000000000001</v>
      </c>
      <c r="DP116" s="17">
        <f t="shared" si="233"/>
        <v>14.600000000000009</v>
      </c>
      <c r="DQ116" s="17">
        <f t="shared" si="233"/>
        <v>14.600000000000009</v>
      </c>
      <c r="DR116" s="17">
        <f t="shared" si="233"/>
        <v>10.800000000000008</v>
      </c>
      <c r="DS116" s="17">
        <f t="shared" si="233"/>
        <v>10.800000000000008</v>
      </c>
      <c r="DT116" s="17">
        <f t="shared" si="233"/>
        <v>10.800000000000008</v>
      </c>
      <c r="DU116" s="16">
        <f t="shared" si="233"/>
        <v>10.800000000000008</v>
      </c>
      <c r="DV116" s="16">
        <f t="shared" si="233"/>
        <v>13.500000000000009</v>
      </c>
      <c r="DW116" s="16">
        <f t="shared" si="233"/>
        <v>22.70000000000001</v>
      </c>
      <c r="DX116" s="16">
        <f t="shared" si="233"/>
        <v>18.90000000000001</v>
      </c>
      <c r="DY116" s="16">
        <f t="shared" si="233"/>
        <v>18.80000000000001</v>
      </c>
      <c r="DZ116" s="16">
        <f t="shared" si="233"/>
        <v>18.80000000000001</v>
      </c>
      <c r="EA116" s="16">
        <f t="shared" si="233"/>
        <v>18.80000000000001</v>
      </c>
      <c r="EB116" s="16">
        <f t="shared" si="233"/>
        <v>18.80000000000001</v>
      </c>
      <c r="EC116" s="16">
        <f t="shared" si="233"/>
        <v>18.80000000000001</v>
      </c>
      <c r="ED116" s="16">
        <f aca="true" t="shared" si="234" ref="ED116:GO116">ED115-ED114</f>
        <v>18.80000000000001</v>
      </c>
      <c r="EE116" s="16">
        <f t="shared" si="234"/>
        <v>24.30000000000001</v>
      </c>
      <c r="EF116" s="16">
        <f t="shared" si="234"/>
        <v>19.80000000000001</v>
      </c>
      <c r="EG116" s="16">
        <f t="shared" si="234"/>
        <v>19.80000000000001</v>
      </c>
      <c r="EH116" s="16">
        <f t="shared" si="234"/>
        <v>18.50000000000001</v>
      </c>
      <c r="EI116" s="16">
        <f t="shared" si="234"/>
        <v>28.00000000000001</v>
      </c>
      <c r="EJ116" s="16">
        <f t="shared" si="234"/>
        <v>30.70000000000001</v>
      </c>
      <c r="EK116" s="16">
        <f t="shared" si="234"/>
        <v>30.70000000000001</v>
      </c>
      <c r="EL116" s="16">
        <f t="shared" si="234"/>
        <v>34.900000000000006</v>
      </c>
      <c r="EM116" s="16">
        <f t="shared" si="234"/>
        <v>34.900000000000006</v>
      </c>
      <c r="EN116" s="16">
        <f t="shared" si="234"/>
        <v>34.900000000000006</v>
      </c>
      <c r="EO116" s="16">
        <f t="shared" si="234"/>
        <v>34.900000000000006</v>
      </c>
      <c r="EP116" s="16">
        <f t="shared" si="234"/>
        <v>30.700000000000006</v>
      </c>
      <c r="EQ116" s="16">
        <f t="shared" si="234"/>
        <v>30.700000000000006</v>
      </c>
      <c r="ER116" s="16">
        <f t="shared" si="234"/>
        <v>26.500000000000007</v>
      </c>
      <c r="ES116" s="16">
        <f t="shared" si="234"/>
        <v>26.500000000000007</v>
      </c>
      <c r="ET116" s="16">
        <f t="shared" si="234"/>
        <v>26.500000000000007</v>
      </c>
      <c r="EU116" s="16">
        <f t="shared" si="234"/>
        <v>26.500000000000007</v>
      </c>
      <c r="EV116" s="16">
        <f t="shared" si="234"/>
        <v>26.500000000000007</v>
      </c>
      <c r="EW116" s="16">
        <f t="shared" si="234"/>
        <v>26.500000000000004</v>
      </c>
      <c r="EX116" s="16">
        <f t="shared" si="234"/>
        <v>26.500000000000004</v>
      </c>
      <c r="EY116" s="16">
        <f t="shared" si="234"/>
        <v>26.500000000000004</v>
      </c>
      <c r="EZ116" s="16">
        <f t="shared" si="234"/>
        <v>42.7</v>
      </c>
      <c r="FA116" s="16">
        <f t="shared" si="234"/>
        <v>42.7</v>
      </c>
      <c r="FB116" s="16">
        <f t="shared" si="234"/>
        <v>42.7</v>
      </c>
      <c r="FC116" s="16">
        <f t="shared" si="234"/>
        <v>41.400000000000006</v>
      </c>
      <c r="FD116" s="16">
        <f t="shared" si="234"/>
        <v>39.50000000000001</v>
      </c>
      <c r="FE116" s="16">
        <f t="shared" si="234"/>
        <v>39.50000000000001</v>
      </c>
      <c r="FF116" s="16">
        <f t="shared" si="234"/>
        <v>39.50000000000001</v>
      </c>
      <c r="FG116" s="16">
        <f t="shared" si="234"/>
        <v>36.20000000000001</v>
      </c>
      <c r="FH116" s="16">
        <f t="shared" si="234"/>
        <v>41.10000000000001</v>
      </c>
      <c r="FI116" s="16">
        <f t="shared" si="234"/>
        <v>41.10000000000001</v>
      </c>
      <c r="FJ116" s="16">
        <f t="shared" si="234"/>
        <v>41.10000000000001</v>
      </c>
      <c r="FK116" s="16">
        <f t="shared" si="234"/>
        <v>41.10000000000001</v>
      </c>
      <c r="FL116" s="16">
        <f t="shared" si="234"/>
        <v>41.10000000000001</v>
      </c>
      <c r="FM116" s="16">
        <f t="shared" si="234"/>
        <v>41.10000000000001</v>
      </c>
      <c r="FN116" s="16">
        <f t="shared" si="234"/>
        <v>41.10000000000001</v>
      </c>
      <c r="FO116" s="16">
        <f t="shared" si="234"/>
        <v>41.10000000000001</v>
      </c>
      <c r="FP116" s="16">
        <f t="shared" si="234"/>
        <v>29.40000000000001</v>
      </c>
      <c r="FQ116" s="16">
        <f t="shared" si="234"/>
        <v>29.40000000000001</v>
      </c>
      <c r="FR116" s="16">
        <f t="shared" si="234"/>
        <v>4.400000000000009</v>
      </c>
      <c r="FS116" s="16">
        <f t="shared" si="234"/>
        <v>4.400000000000009</v>
      </c>
      <c r="FT116" s="16">
        <f t="shared" si="234"/>
        <v>4.400000000000009</v>
      </c>
      <c r="FU116" s="16">
        <f t="shared" si="234"/>
        <v>4.400000000000009</v>
      </c>
      <c r="FV116" s="16">
        <f t="shared" si="234"/>
        <v>4.400000000000009</v>
      </c>
      <c r="FW116" s="16">
        <f t="shared" si="234"/>
        <v>4.400000000000009</v>
      </c>
      <c r="FX116" s="16">
        <f t="shared" si="234"/>
        <v>4.400000000000009</v>
      </c>
      <c r="FY116" s="16">
        <f t="shared" si="234"/>
        <v>4.400000000000009</v>
      </c>
      <c r="FZ116" s="16">
        <f t="shared" si="234"/>
        <v>4.400000000000009</v>
      </c>
      <c r="GA116" s="16">
        <f t="shared" si="234"/>
        <v>4.400000000000009</v>
      </c>
      <c r="GB116" s="16">
        <f t="shared" si="234"/>
        <v>4.400000000000009</v>
      </c>
      <c r="GC116" s="16">
        <f t="shared" si="234"/>
        <v>4.400000000000009</v>
      </c>
      <c r="GD116" s="16">
        <f t="shared" si="234"/>
        <v>4.400000000000009</v>
      </c>
      <c r="GE116" s="16">
        <f t="shared" si="234"/>
        <v>4.400000000000009</v>
      </c>
      <c r="GF116" s="16">
        <f t="shared" si="234"/>
        <v>4.400000000000009</v>
      </c>
      <c r="GG116" s="16">
        <f t="shared" si="234"/>
        <v>4.400000000000009</v>
      </c>
      <c r="GH116" s="16">
        <f t="shared" si="234"/>
        <v>4.400000000000009</v>
      </c>
      <c r="GI116" s="16">
        <f t="shared" si="234"/>
        <v>4.400000000000009</v>
      </c>
      <c r="GJ116" s="16">
        <f t="shared" si="234"/>
        <v>4.400000000000009</v>
      </c>
      <c r="GK116" s="16">
        <f t="shared" si="234"/>
        <v>4.400000000000009</v>
      </c>
      <c r="GL116" s="16">
        <f t="shared" si="234"/>
        <v>4.400000000000009</v>
      </c>
      <c r="GM116" s="16">
        <f t="shared" si="234"/>
        <v>4.400000000000009</v>
      </c>
      <c r="GN116" s="16">
        <f t="shared" si="234"/>
        <v>4.400000000000009</v>
      </c>
      <c r="GO116" s="16">
        <f t="shared" si="234"/>
        <v>4.400000000000009</v>
      </c>
    </row>
    <row r="117" spans="1:256" s="9" customFormat="1" ht="15">
      <c r="A117" s="4" t="s">
        <v>260</v>
      </c>
      <c r="B117" s="4">
        <v>28</v>
      </c>
      <c r="C117" s="12" t="s">
        <v>216</v>
      </c>
      <c r="BT117" s="31"/>
      <c r="BU117" s="31"/>
      <c r="BV117" s="31"/>
      <c r="DP117" s="29"/>
      <c r="DQ117" s="29"/>
      <c r="DR117" s="29"/>
      <c r="DS117" s="29"/>
      <c r="DT117" s="29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197" ht="15">
      <c r="A118" s="4"/>
      <c r="B118" s="4"/>
      <c r="C118" s="12" t="s">
        <v>217</v>
      </c>
      <c r="D118" s="14">
        <v>-5</v>
      </c>
      <c r="E118" s="14">
        <f>D119</f>
        <v>-5</v>
      </c>
      <c r="F118" s="14">
        <f aca="true" t="shared" si="235" ref="F118:BQ118">E119</f>
        <v>-5</v>
      </c>
      <c r="G118" s="14">
        <f t="shared" si="235"/>
        <v>-5</v>
      </c>
      <c r="H118" s="14">
        <f t="shared" si="235"/>
        <v>-5</v>
      </c>
      <c r="I118" s="14">
        <f t="shared" si="235"/>
        <v>-5</v>
      </c>
      <c r="J118" s="14">
        <f t="shared" si="235"/>
        <v>-5</v>
      </c>
      <c r="K118" s="14">
        <f t="shared" si="235"/>
        <v>-5</v>
      </c>
      <c r="L118" s="14">
        <f t="shared" si="235"/>
        <v>-5</v>
      </c>
      <c r="M118" s="14">
        <f t="shared" si="235"/>
        <v>-5</v>
      </c>
      <c r="N118" s="14">
        <f t="shared" si="235"/>
        <v>-5</v>
      </c>
      <c r="O118" s="14">
        <f t="shared" si="235"/>
        <v>-5</v>
      </c>
      <c r="P118" s="14">
        <f t="shared" si="235"/>
        <v>-5</v>
      </c>
      <c r="Q118" s="14">
        <f t="shared" si="235"/>
        <v>-5</v>
      </c>
      <c r="R118" s="14">
        <f t="shared" si="235"/>
        <v>-5</v>
      </c>
      <c r="S118" s="14">
        <f t="shared" si="235"/>
        <v>-5</v>
      </c>
      <c r="T118" s="14">
        <f t="shared" si="235"/>
        <v>-5</v>
      </c>
      <c r="U118" s="14">
        <f t="shared" si="235"/>
        <v>-5</v>
      </c>
      <c r="V118" s="14">
        <f t="shared" si="235"/>
        <v>-5</v>
      </c>
      <c r="W118" s="14">
        <f t="shared" si="235"/>
        <v>-5</v>
      </c>
      <c r="X118" s="14">
        <f t="shared" si="235"/>
        <v>-5</v>
      </c>
      <c r="Y118" s="14">
        <f t="shared" si="235"/>
        <v>-5</v>
      </c>
      <c r="Z118" s="14">
        <f t="shared" si="235"/>
        <v>-5</v>
      </c>
      <c r="AA118" s="14">
        <f t="shared" si="235"/>
        <v>-5</v>
      </c>
      <c r="AB118" s="14">
        <f t="shared" si="235"/>
        <v>-5</v>
      </c>
      <c r="AC118" s="14">
        <f t="shared" si="235"/>
        <v>-5</v>
      </c>
      <c r="AD118" s="14">
        <f t="shared" si="235"/>
        <v>-5</v>
      </c>
      <c r="AE118" s="14">
        <f t="shared" si="235"/>
        <v>-5</v>
      </c>
      <c r="AF118" s="14">
        <f t="shared" si="235"/>
        <v>-5</v>
      </c>
      <c r="AG118" s="14">
        <f t="shared" si="235"/>
        <v>-5</v>
      </c>
      <c r="AH118" s="14">
        <f t="shared" si="235"/>
        <v>-5</v>
      </c>
      <c r="AI118" s="14">
        <f t="shared" si="235"/>
        <v>-5</v>
      </c>
      <c r="AJ118" s="14">
        <f t="shared" si="235"/>
        <v>-5</v>
      </c>
      <c r="AK118" s="14">
        <f t="shared" si="235"/>
        <v>-5</v>
      </c>
      <c r="AL118" s="14">
        <f t="shared" si="235"/>
        <v>-5</v>
      </c>
      <c r="AM118" s="14">
        <f t="shared" si="235"/>
        <v>-5</v>
      </c>
      <c r="AN118" s="14">
        <f t="shared" si="235"/>
        <v>-5</v>
      </c>
      <c r="AO118" s="14">
        <f t="shared" si="235"/>
        <v>-5</v>
      </c>
      <c r="AP118" s="14">
        <f t="shared" si="235"/>
        <v>-5</v>
      </c>
      <c r="AQ118" s="14">
        <f t="shared" si="235"/>
        <v>-5</v>
      </c>
      <c r="AR118" s="14">
        <f t="shared" si="235"/>
        <v>-5</v>
      </c>
      <c r="AS118" s="14">
        <f t="shared" si="235"/>
        <v>-5</v>
      </c>
      <c r="AT118" s="14">
        <f t="shared" si="235"/>
        <v>-5</v>
      </c>
      <c r="AU118" s="14">
        <f t="shared" si="235"/>
        <v>-5</v>
      </c>
      <c r="AV118" s="14">
        <f t="shared" si="235"/>
        <v>-5</v>
      </c>
      <c r="AW118" s="14">
        <f t="shared" si="235"/>
        <v>-5</v>
      </c>
      <c r="AX118" s="14">
        <f t="shared" si="235"/>
        <v>-5</v>
      </c>
      <c r="AY118" s="14">
        <f t="shared" si="235"/>
        <v>-5</v>
      </c>
      <c r="AZ118" s="14">
        <f t="shared" si="235"/>
        <v>-5</v>
      </c>
      <c r="BA118" s="14">
        <f t="shared" si="235"/>
        <v>-5</v>
      </c>
      <c r="BB118" s="14">
        <f t="shared" si="235"/>
        <v>-5</v>
      </c>
      <c r="BC118" s="14">
        <f t="shared" si="235"/>
        <v>-5</v>
      </c>
      <c r="BD118" s="14">
        <f t="shared" si="235"/>
        <v>-5</v>
      </c>
      <c r="BE118" s="14">
        <f t="shared" si="235"/>
        <v>-5</v>
      </c>
      <c r="BF118" s="14">
        <f t="shared" si="235"/>
        <v>-5</v>
      </c>
      <c r="BG118" s="14">
        <f t="shared" si="235"/>
        <v>-5</v>
      </c>
      <c r="BH118" s="14">
        <f t="shared" si="235"/>
        <v>-5</v>
      </c>
      <c r="BI118" s="14">
        <f t="shared" si="235"/>
        <v>-5</v>
      </c>
      <c r="BJ118" s="14">
        <f t="shared" si="235"/>
        <v>-5</v>
      </c>
      <c r="BK118" s="14">
        <f t="shared" si="235"/>
        <v>-5</v>
      </c>
      <c r="BL118" s="14">
        <f t="shared" si="235"/>
        <v>-5</v>
      </c>
      <c r="BM118" s="14">
        <f t="shared" si="235"/>
        <v>-5</v>
      </c>
      <c r="BN118" s="14">
        <f t="shared" si="235"/>
        <v>-5</v>
      </c>
      <c r="BO118" s="14">
        <f t="shared" si="235"/>
        <v>-5</v>
      </c>
      <c r="BP118" s="14">
        <f t="shared" si="235"/>
        <v>-5</v>
      </c>
      <c r="BQ118" s="14">
        <f t="shared" si="235"/>
        <v>-5</v>
      </c>
      <c r="BR118" s="14">
        <f aca="true" t="shared" si="236" ref="BR118:EC118">BQ119</f>
        <v>-5</v>
      </c>
      <c r="BS118" s="14">
        <f t="shared" si="236"/>
        <v>-5</v>
      </c>
      <c r="BT118" s="26">
        <f t="shared" si="236"/>
        <v>-5</v>
      </c>
      <c r="BU118" s="26">
        <f t="shared" si="236"/>
        <v>-5</v>
      </c>
      <c r="BV118" s="26">
        <f t="shared" si="236"/>
        <v>-5</v>
      </c>
      <c r="BW118" s="14">
        <f t="shared" si="236"/>
        <v>-5</v>
      </c>
      <c r="BX118" s="14">
        <f t="shared" si="236"/>
        <v>-5</v>
      </c>
      <c r="BY118" s="14">
        <f t="shared" si="236"/>
        <v>-5</v>
      </c>
      <c r="BZ118" s="14">
        <f t="shared" si="236"/>
        <v>-5</v>
      </c>
      <c r="CA118" s="14">
        <f t="shared" si="236"/>
        <v>-5</v>
      </c>
      <c r="CB118" s="14">
        <f t="shared" si="236"/>
        <v>-5</v>
      </c>
      <c r="CC118" s="14">
        <f t="shared" si="236"/>
        <v>-5</v>
      </c>
      <c r="CD118" s="14">
        <f t="shared" si="236"/>
        <v>-5</v>
      </c>
      <c r="CE118" s="14">
        <f t="shared" si="236"/>
        <v>-5</v>
      </c>
      <c r="CF118" s="14">
        <f t="shared" si="236"/>
        <v>-5</v>
      </c>
      <c r="CG118" s="14">
        <f t="shared" si="236"/>
        <v>-5</v>
      </c>
      <c r="CH118" s="14">
        <f t="shared" si="236"/>
        <v>-5</v>
      </c>
      <c r="CI118" s="14">
        <f t="shared" si="236"/>
        <v>-5</v>
      </c>
      <c r="CJ118" s="14">
        <f t="shared" si="236"/>
        <v>-5</v>
      </c>
      <c r="CK118" s="14">
        <f t="shared" si="236"/>
        <v>-5</v>
      </c>
      <c r="CL118" s="14">
        <f t="shared" si="236"/>
        <v>-5</v>
      </c>
      <c r="CM118" s="14">
        <f t="shared" si="236"/>
        <v>-5</v>
      </c>
      <c r="CN118" s="14">
        <f t="shared" si="236"/>
        <v>-5</v>
      </c>
      <c r="CO118" s="14">
        <f t="shared" si="236"/>
        <v>-5</v>
      </c>
      <c r="CP118" s="14">
        <f t="shared" si="236"/>
        <v>-5</v>
      </c>
      <c r="CQ118" s="14">
        <f t="shared" si="236"/>
        <v>-5</v>
      </c>
      <c r="CR118" s="14">
        <f t="shared" si="236"/>
        <v>-5</v>
      </c>
      <c r="CS118" s="14">
        <f t="shared" si="236"/>
        <v>-5</v>
      </c>
      <c r="CT118" s="14">
        <f t="shared" si="236"/>
        <v>-5</v>
      </c>
      <c r="CU118" s="14">
        <f t="shared" si="236"/>
        <v>-5</v>
      </c>
      <c r="CV118" s="14">
        <f t="shared" si="236"/>
        <v>-5</v>
      </c>
      <c r="CW118" s="14">
        <f t="shared" si="236"/>
        <v>-5</v>
      </c>
      <c r="CX118" s="14">
        <f t="shared" si="236"/>
        <v>-5</v>
      </c>
      <c r="CY118" s="14">
        <f t="shared" si="236"/>
        <v>-5</v>
      </c>
      <c r="CZ118" s="14">
        <f t="shared" si="236"/>
        <v>-5</v>
      </c>
      <c r="DA118" s="14">
        <f t="shared" si="236"/>
        <v>-5</v>
      </c>
      <c r="DB118" s="14">
        <f t="shared" si="236"/>
        <v>-5</v>
      </c>
      <c r="DC118" s="14">
        <f t="shared" si="236"/>
        <v>-5</v>
      </c>
      <c r="DD118" s="14">
        <f t="shared" si="236"/>
        <v>-5</v>
      </c>
      <c r="DE118" s="14">
        <f t="shared" si="236"/>
        <v>-5</v>
      </c>
      <c r="DF118" s="14">
        <f t="shared" si="236"/>
        <v>-5</v>
      </c>
      <c r="DG118" s="14">
        <f t="shared" si="236"/>
        <v>-5</v>
      </c>
      <c r="DH118" s="14">
        <f t="shared" si="236"/>
        <v>-5</v>
      </c>
      <c r="DI118" s="14">
        <f t="shared" si="236"/>
        <v>-5</v>
      </c>
      <c r="DJ118" s="14">
        <f t="shared" si="236"/>
        <v>-5</v>
      </c>
      <c r="DK118" s="14">
        <f t="shared" si="236"/>
        <v>-5</v>
      </c>
      <c r="DL118" s="14">
        <f t="shared" si="236"/>
        <v>-5</v>
      </c>
      <c r="DM118" s="14">
        <f t="shared" si="236"/>
        <v>-5</v>
      </c>
      <c r="DN118" s="14">
        <f t="shared" si="236"/>
        <v>-5</v>
      </c>
      <c r="DO118" s="14">
        <f t="shared" si="236"/>
        <v>-5</v>
      </c>
      <c r="DP118" s="15">
        <f t="shared" si="236"/>
        <v>-5</v>
      </c>
      <c r="DQ118" s="15">
        <f t="shared" si="236"/>
        <v>-5</v>
      </c>
      <c r="DR118" s="15">
        <f t="shared" si="236"/>
        <v>-5</v>
      </c>
      <c r="DS118" s="15">
        <f t="shared" si="236"/>
        <v>-5</v>
      </c>
      <c r="DT118" s="15">
        <f t="shared" si="236"/>
        <v>-5</v>
      </c>
      <c r="DU118" s="14">
        <f t="shared" si="236"/>
        <v>-5</v>
      </c>
      <c r="DV118" s="14">
        <f t="shared" si="236"/>
        <v>-5</v>
      </c>
      <c r="DW118" s="14">
        <f t="shared" si="236"/>
        <v>-5</v>
      </c>
      <c r="DX118" s="14">
        <f t="shared" si="236"/>
        <v>-5</v>
      </c>
      <c r="DY118" s="14">
        <f t="shared" si="236"/>
        <v>-5</v>
      </c>
      <c r="DZ118" s="14">
        <f t="shared" si="236"/>
        <v>-5</v>
      </c>
      <c r="EA118" s="14">
        <f t="shared" si="236"/>
        <v>-5</v>
      </c>
      <c r="EB118" s="14">
        <f t="shared" si="236"/>
        <v>-5</v>
      </c>
      <c r="EC118" s="14">
        <f t="shared" si="236"/>
        <v>-5</v>
      </c>
      <c r="ED118" s="14">
        <f aca="true" t="shared" si="237" ref="ED118:GO118">EC119</f>
        <v>-5</v>
      </c>
      <c r="EE118" s="14">
        <f t="shared" si="237"/>
        <v>-5</v>
      </c>
      <c r="EF118" s="14">
        <f t="shared" si="237"/>
        <v>-5</v>
      </c>
      <c r="EG118" s="14">
        <f t="shared" si="237"/>
        <v>-5</v>
      </c>
      <c r="EH118" s="14">
        <f t="shared" si="237"/>
        <v>-5</v>
      </c>
      <c r="EI118" s="14">
        <f t="shared" si="237"/>
        <v>-5</v>
      </c>
      <c r="EJ118" s="14">
        <f t="shared" si="237"/>
        <v>-5</v>
      </c>
      <c r="EK118" s="14">
        <f t="shared" si="237"/>
        <v>-5</v>
      </c>
      <c r="EL118" s="14">
        <f t="shared" si="237"/>
        <v>-5</v>
      </c>
      <c r="EM118" s="14">
        <f t="shared" si="237"/>
        <v>-5</v>
      </c>
      <c r="EN118" s="14">
        <f t="shared" si="237"/>
        <v>-5</v>
      </c>
      <c r="EO118" s="14">
        <f t="shared" si="237"/>
        <v>-5</v>
      </c>
      <c r="EP118" s="14">
        <f t="shared" si="237"/>
        <v>-5</v>
      </c>
      <c r="EQ118" s="14">
        <f t="shared" si="237"/>
        <v>-5</v>
      </c>
      <c r="ER118" s="14">
        <f>EQ119</f>
        <v>-5</v>
      </c>
      <c r="ES118" s="14">
        <f>ER119</f>
        <v>-5</v>
      </c>
      <c r="ET118" s="14">
        <f>ES119</f>
        <v>-5</v>
      </c>
      <c r="EU118" s="14">
        <f t="shared" si="237"/>
        <v>-5</v>
      </c>
      <c r="EV118" s="14">
        <f t="shared" si="237"/>
        <v>-5</v>
      </c>
      <c r="EW118" s="14">
        <f t="shared" si="237"/>
        <v>-5</v>
      </c>
      <c r="EX118" s="14">
        <f t="shared" si="237"/>
        <v>-5</v>
      </c>
      <c r="EY118" s="14">
        <f t="shared" si="237"/>
        <v>-5</v>
      </c>
      <c r="EZ118" s="14">
        <f t="shared" si="237"/>
        <v>-5</v>
      </c>
      <c r="FA118" s="14">
        <f t="shared" si="237"/>
        <v>-5</v>
      </c>
      <c r="FB118" s="14">
        <f t="shared" si="237"/>
        <v>-5</v>
      </c>
      <c r="FC118" s="14">
        <f t="shared" si="237"/>
        <v>-5</v>
      </c>
      <c r="FD118" s="14">
        <f t="shared" si="237"/>
        <v>-5</v>
      </c>
      <c r="FE118" s="14">
        <f t="shared" si="237"/>
        <v>-5</v>
      </c>
      <c r="FF118" s="14">
        <f t="shared" si="237"/>
        <v>-5</v>
      </c>
      <c r="FG118" s="14">
        <f t="shared" si="237"/>
        <v>-5</v>
      </c>
      <c r="FH118" s="14">
        <f t="shared" si="237"/>
        <v>-5</v>
      </c>
      <c r="FI118" s="14">
        <f t="shared" si="237"/>
        <v>-5</v>
      </c>
      <c r="FJ118" s="14">
        <f t="shared" si="237"/>
        <v>-5</v>
      </c>
      <c r="FK118" s="14">
        <f t="shared" si="237"/>
        <v>-5</v>
      </c>
      <c r="FL118" s="14">
        <f t="shared" si="237"/>
        <v>-5</v>
      </c>
      <c r="FM118" s="14">
        <f t="shared" si="237"/>
        <v>-5</v>
      </c>
      <c r="FN118" s="14">
        <f t="shared" si="237"/>
        <v>-5</v>
      </c>
      <c r="FO118" s="14">
        <f t="shared" si="237"/>
        <v>-5</v>
      </c>
      <c r="FP118" s="14">
        <f t="shared" si="237"/>
        <v>-5</v>
      </c>
      <c r="FQ118" s="14">
        <f t="shared" si="237"/>
        <v>-5</v>
      </c>
      <c r="FR118" s="14">
        <f t="shared" si="237"/>
        <v>-5</v>
      </c>
      <c r="FS118" s="14">
        <f t="shared" si="237"/>
        <v>-5</v>
      </c>
      <c r="FT118" s="14">
        <f t="shared" si="237"/>
        <v>-5</v>
      </c>
      <c r="FU118" s="14">
        <f t="shared" si="237"/>
        <v>-5</v>
      </c>
      <c r="FV118" s="14">
        <f t="shared" si="237"/>
        <v>-5</v>
      </c>
      <c r="FW118" s="14">
        <f t="shared" si="237"/>
        <v>-5</v>
      </c>
      <c r="FX118" s="14">
        <f t="shared" si="237"/>
        <v>-5</v>
      </c>
      <c r="FY118" s="14">
        <f t="shared" si="237"/>
        <v>-5</v>
      </c>
      <c r="FZ118" s="14">
        <f t="shared" si="237"/>
        <v>-5</v>
      </c>
      <c r="GA118" s="14">
        <f t="shared" si="237"/>
        <v>-5</v>
      </c>
      <c r="GB118" s="14">
        <f t="shared" si="237"/>
        <v>-5</v>
      </c>
      <c r="GC118" s="14">
        <f t="shared" si="237"/>
        <v>-5</v>
      </c>
      <c r="GD118" s="14">
        <f t="shared" si="237"/>
        <v>-5</v>
      </c>
      <c r="GE118" s="14">
        <f t="shared" si="237"/>
        <v>-5</v>
      </c>
      <c r="GF118" s="14">
        <f t="shared" si="237"/>
        <v>-5</v>
      </c>
      <c r="GG118" s="14">
        <f t="shared" si="237"/>
        <v>-5</v>
      </c>
      <c r="GH118" s="14">
        <f t="shared" si="237"/>
        <v>-5</v>
      </c>
      <c r="GI118" s="14">
        <f t="shared" si="237"/>
        <v>-5</v>
      </c>
      <c r="GJ118" s="14">
        <f t="shared" si="237"/>
        <v>-5</v>
      </c>
      <c r="GK118" s="14">
        <f t="shared" si="237"/>
        <v>-5</v>
      </c>
      <c r="GL118" s="14">
        <f t="shared" si="237"/>
        <v>-5</v>
      </c>
      <c r="GM118" s="14">
        <f t="shared" si="237"/>
        <v>-5</v>
      </c>
      <c r="GN118" s="14">
        <f t="shared" si="237"/>
        <v>-5</v>
      </c>
      <c r="GO118" s="14">
        <f t="shared" si="237"/>
        <v>-5</v>
      </c>
    </row>
    <row r="119" spans="1:197" ht="15">
      <c r="A119" s="4"/>
      <c r="B119" s="4"/>
      <c r="C119" s="12" t="s">
        <v>218</v>
      </c>
      <c r="D119" s="16">
        <f>D118-D117</f>
        <v>-5</v>
      </c>
      <c r="E119" s="16">
        <f>E118-E117</f>
        <v>-5</v>
      </c>
      <c r="F119" s="16">
        <f aca="true" t="shared" si="238" ref="F119:BQ119">F118-F117</f>
        <v>-5</v>
      </c>
      <c r="G119" s="16">
        <f t="shared" si="238"/>
        <v>-5</v>
      </c>
      <c r="H119" s="16">
        <f t="shared" si="238"/>
        <v>-5</v>
      </c>
      <c r="I119" s="16">
        <f t="shared" si="238"/>
        <v>-5</v>
      </c>
      <c r="J119" s="16">
        <f t="shared" si="238"/>
        <v>-5</v>
      </c>
      <c r="K119" s="16">
        <f t="shared" si="238"/>
        <v>-5</v>
      </c>
      <c r="L119" s="16">
        <f t="shared" si="238"/>
        <v>-5</v>
      </c>
      <c r="M119" s="16">
        <f t="shared" si="238"/>
        <v>-5</v>
      </c>
      <c r="N119" s="16">
        <f t="shared" si="238"/>
        <v>-5</v>
      </c>
      <c r="O119" s="16">
        <f t="shared" si="238"/>
        <v>-5</v>
      </c>
      <c r="P119" s="16">
        <f t="shared" si="238"/>
        <v>-5</v>
      </c>
      <c r="Q119" s="16">
        <f t="shared" si="238"/>
        <v>-5</v>
      </c>
      <c r="R119" s="16">
        <f t="shared" si="238"/>
        <v>-5</v>
      </c>
      <c r="S119" s="16">
        <f t="shared" si="238"/>
        <v>-5</v>
      </c>
      <c r="T119" s="16">
        <f t="shared" si="238"/>
        <v>-5</v>
      </c>
      <c r="U119" s="16">
        <f t="shared" si="238"/>
        <v>-5</v>
      </c>
      <c r="V119" s="16">
        <f t="shared" si="238"/>
        <v>-5</v>
      </c>
      <c r="W119" s="16">
        <f t="shared" si="238"/>
        <v>-5</v>
      </c>
      <c r="X119" s="16">
        <f t="shared" si="238"/>
        <v>-5</v>
      </c>
      <c r="Y119" s="16">
        <f t="shared" si="238"/>
        <v>-5</v>
      </c>
      <c r="Z119" s="16">
        <f t="shared" si="238"/>
        <v>-5</v>
      </c>
      <c r="AA119" s="16">
        <f t="shared" si="238"/>
        <v>-5</v>
      </c>
      <c r="AB119" s="16">
        <f t="shared" si="238"/>
        <v>-5</v>
      </c>
      <c r="AC119" s="16">
        <f t="shared" si="238"/>
        <v>-5</v>
      </c>
      <c r="AD119" s="16">
        <f t="shared" si="238"/>
        <v>-5</v>
      </c>
      <c r="AE119" s="16">
        <f t="shared" si="238"/>
        <v>-5</v>
      </c>
      <c r="AF119" s="16">
        <f t="shared" si="238"/>
        <v>-5</v>
      </c>
      <c r="AG119" s="16">
        <f t="shared" si="238"/>
        <v>-5</v>
      </c>
      <c r="AH119" s="16">
        <f t="shared" si="238"/>
        <v>-5</v>
      </c>
      <c r="AI119" s="16">
        <f t="shared" si="238"/>
        <v>-5</v>
      </c>
      <c r="AJ119" s="16">
        <f t="shared" si="238"/>
        <v>-5</v>
      </c>
      <c r="AK119" s="16">
        <f t="shared" si="238"/>
        <v>-5</v>
      </c>
      <c r="AL119" s="16">
        <f t="shared" si="238"/>
        <v>-5</v>
      </c>
      <c r="AM119" s="16">
        <f t="shared" si="238"/>
        <v>-5</v>
      </c>
      <c r="AN119" s="16">
        <f t="shared" si="238"/>
        <v>-5</v>
      </c>
      <c r="AO119" s="16">
        <f t="shared" si="238"/>
        <v>-5</v>
      </c>
      <c r="AP119" s="16">
        <f t="shared" si="238"/>
        <v>-5</v>
      </c>
      <c r="AQ119" s="16">
        <f t="shared" si="238"/>
        <v>-5</v>
      </c>
      <c r="AR119" s="16">
        <f t="shared" si="238"/>
        <v>-5</v>
      </c>
      <c r="AS119" s="16">
        <f t="shared" si="238"/>
        <v>-5</v>
      </c>
      <c r="AT119" s="16">
        <f t="shared" si="238"/>
        <v>-5</v>
      </c>
      <c r="AU119" s="16">
        <f t="shared" si="238"/>
        <v>-5</v>
      </c>
      <c r="AV119" s="16">
        <f t="shared" si="238"/>
        <v>-5</v>
      </c>
      <c r="AW119" s="16">
        <f t="shared" si="238"/>
        <v>-5</v>
      </c>
      <c r="AX119" s="16">
        <f t="shared" si="238"/>
        <v>-5</v>
      </c>
      <c r="AY119" s="16">
        <f t="shared" si="238"/>
        <v>-5</v>
      </c>
      <c r="AZ119" s="16">
        <f t="shared" si="238"/>
        <v>-5</v>
      </c>
      <c r="BA119" s="16">
        <f t="shared" si="238"/>
        <v>-5</v>
      </c>
      <c r="BB119" s="16">
        <f t="shared" si="238"/>
        <v>-5</v>
      </c>
      <c r="BC119" s="16">
        <f t="shared" si="238"/>
        <v>-5</v>
      </c>
      <c r="BD119" s="16">
        <f t="shared" si="238"/>
        <v>-5</v>
      </c>
      <c r="BE119" s="16">
        <f t="shared" si="238"/>
        <v>-5</v>
      </c>
      <c r="BF119" s="16">
        <f t="shared" si="238"/>
        <v>-5</v>
      </c>
      <c r="BG119" s="16">
        <f t="shared" si="238"/>
        <v>-5</v>
      </c>
      <c r="BH119" s="16">
        <f t="shared" si="238"/>
        <v>-5</v>
      </c>
      <c r="BI119" s="16">
        <f t="shared" si="238"/>
        <v>-5</v>
      </c>
      <c r="BJ119" s="16">
        <f t="shared" si="238"/>
        <v>-5</v>
      </c>
      <c r="BK119" s="16">
        <f t="shared" si="238"/>
        <v>-5</v>
      </c>
      <c r="BL119" s="16">
        <f t="shared" si="238"/>
        <v>-5</v>
      </c>
      <c r="BM119" s="16">
        <f t="shared" si="238"/>
        <v>-5</v>
      </c>
      <c r="BN119" s="16">
        <f t="shared" si="238"/>
        <v>-5</v>
      </c>
      <c r="BO119" s="16">
        <f t="shared" si="238"/>
        <v>-5</v>
      </c>
      <c r="BP119" s="16">
        <f t="shared" si="238"/>
        <v>-5</v>
      </c>
      <c r="BQ119" s="16">
        <f t="shared" si="238"/>
        <v>-5</v>
      </c>
      <c r="BR119" s="16">
        <f aca="true" t="shared" si="239" ref="BR119:EC119">BR118-BR117</f>
        <v>-5</v>
      </c>
      <c r="BS119" s="16">
        <f t="shared" si="239"/>
        <v>-5</v>
      </c>
      <c r="BT119" s="27">
        <f t="shared" si="239"/>
        <v>-5</v>
      </c>
      <c r="BU119" s="27">
        <f t="shared" si="239"/>
        <v>-5</v>
      </c>
      <c r="BV119" s="27">
        <f t="shared" si="239"/>
        <v>-5</v>
      </c>
      <c r="BW119" s="16">
        <f t="shared" si="239"/>
        <v>-5</v>
      </c>
      <c r="BX119" s="16">
        <f t="shared" si="239"/>
        <v>-5</v>
      </c>
      <c r="BY119" s="16">
        <f t="shared" si="239"/>
        <v>-5</v>
      </c>
      <c r="BZ119" s="16">
        <f t="shared" si="239"/>
        <v>-5</v>
      </c>
      <c r="CA119" s="16">
        <f t="shared" si="239"/>
        <v>-5</v>
      </c>
      <c r="CB119" s="16">
        <f t="shared" si="239"/>
        <v>-5</v>
      </c>
      <c r="CC119" s="16">
        <f t="shared" si="239"/>
        <v>-5</v>
      </c>
      <c r="CD119" s="16">
        <f t="shared" si="239"/>
        <v>-5</v>
      </c>
      <c r="CE119" s="16">
        <f t="shared" si="239"/>
        <v>-5</v>
      </c>
      <c r="CF119" s="16">
        <f t="shared" si="239"/>
        <v>-5</v>
      </c>
      <c r="CG119" s="16">
        <f t="shared" si="239"/>
        <v>-5</v>
      </c>
      <c r="CH119" s="16">
        <f t="shared" si="239"/>
        <v>-5</v>
      </c>
      <c r="CI119" s="16">
        <f t="shared" si="239"/>
        <v>-5</v>
      </c>
      <c r="CJ119" s="16">
        <f t="shared" si="239"/>
        <v>-5</v>
      </c>
      <c r="CK119" s="16">
        <f t="shared" si="239"/>
        <v>-5</v>
      </c>
      <c r="CL119" s="16">
        <f t="shared" si="239"/>
        <v>-5</v>
      </c>
      <c r="CM119" s="16">
        <f t="shared" si="239"/>
        <v>-5</v>
      </c>
      <c r="CN119" s="16">
        <f t="shared" si="239"/>
        <v>-5</v>
      </c>
      <c r="CO119" s="16">
        <f t="shared" si="239"/>
        <v>-5</v>
      </c>
      <c r="CP119" s="16">
        <f t="shared" si="239"/>
        <v>-5</v>
      </c>
      <c r="CQ119" s="16">
        <f t="shared" si="239"/>
        <v>-5</v>
      </c>
      <c r="CR119" s="16">
        <f t="shared" si="239"/>
        <v>-5</v>
      </c>
      <c r="CS119" s="16">
        <f t="shared" si="239"/>
        <v>-5</v>
      </c>
      <c r="CT119" s="16">
        <f t="shared" si="239"/>
        <v>-5</v>
      </c>
      <c r="CU119" s="16">
        <f t="shared" si="239"/>
        <v>-5</v>
      </c>
      <c r="CV119" s="16">
        <f t="shared" si="239"/>
        <v>-5</v>
      </c>
      <c r="CW119" s="16">
        <f t="shared" si="239"/>
        <v>-5</v>
      </c>
      <c r="CX119" s="16">
        <f t="shared" si="239"/>
        <v>-5</v>
      </c>
      <c r="CY119" s="16">
        <f t="shared" si="239"/>
        <v>-5</v>
      </c>
      <c r="CZ119" s="16">
        <f t="shared" si="239"/>
        <v>-5</v>
      </c>
      <c r="DA119" s="16">
        <f t="shared" si="239"/>
        <v>-5</v>
      </c>
      <c r="DB119" s="16">
        <f t="shared" si="239"/>
        <v>-5</v>
      </c>
      <c r="DC119" s="16">
        <f t="shared" si="239"/>
        <v>-5</v>
      </c>
      <c r="DD119" s="16">
        <f t="shared" si="239"/>
        <v>-5</v>
      </c>
      <c r="DE119" s="16">
        <f t="shared" si="239"/>
        <v>-5</v>
      </c>
      <c r="DF119" s="16">
        <f t="shared" si="239"/>
        <v>-5</v>
      </c>
      <c r="DG119" s="16">
        <f t="shared" si="239"/>
        <v>-5</v>
      </c>
      <c r="DH119" s="16">
        <f t="shared" si="239"/>
        <v>-5</v>
      </c>
      <c r="DI119" s="16">
        <f t="shared" si="239"/>
        <v>-5</v>
      </c>
      <c r="DJ119" s="16">
        <f t="shared" si="239"/>
        <v>-5</v>
      </c>
      <c r="DK119" s="16">
        <f t="shared" si="239"/>
        <v>-5</v>
      </c>
      <c r="DL119" s="16">
        <f t="shared" si="239"/>
        <v>-5</v>
      </c>
      <c r="DM119" s="16">
        <f t="shared" si="239"/>
        <v>-5</v>
      </c>
      <c r="DN119" s="16">
        <f t="shared" si="239"/>
        <v>-5</v>
      </c>
      <c r="DO119" s="16">
        <f t="shared" si="239"/>
        <v>-5</v>
      </c>
      <c r="DP119" s="17">
        <f t="shared" si="239"/>
        <v>-5</v>
      </c>
      <c r="DQ119" s="17">
        <f t="shared" si="239"/>
        <v>-5</v>
      </c>
      <c r="DR119" s="17">
        <f t="shared" si="239"/>
        <v>-5</v>
      </c>
      <c r="DS119" s="17">
        <f t="shared" si="239"/>
        <v>-5</v>
      </c>
      <c r="DT119" s="17">
        <f t="shared" si="239"/>
        <v>-5</v>
      </c>
      <c r="DU119" s="16">
        <f t="shared" si="239"/>
        <v>-5</v>
      </c>
      <c r="DV119" s="16">
        <f t="shared" si="239"/>
        <v>-5</v>
      </c>
      <c r="DW119" s="16">
        <f t="shared" si="239"/>
        <v>-5</v>
      </c>
      <c r="DX119" s="16">
        <f t="shared" si="239"/>
        <v>-5</v>
      </c>
      <c r="DY119" s="16">
        <f t="shared" si="239"/>
        <v>-5</v>
      </c>
      <c r="DZ119" s="16">
        <f t="shared" si="239"/>
        <v>-5</v>
      </c>
      <c r="EA119" s="16">
        <f t="shared" si="239"/>
        <v>-5</v>
      </c>
      <c r="EB119" s="16">
        <f t="shared" si="239"/>
        <v>-5</v>
      </c>
      <c r="EC119" s="16">
        <f t="shared" si="239"/>
        <v>-5</v>
      </c>
      <c r="ED119" s="16">
        <f aca="true" t="shared" si="240" ref="ED119:GO119">ED118-ED117</f>
        <v>-5</v>
      </c>
      <c r="EE119" s="16">
        <f t="shared" si="240"/>
        <v>-5</v>
      </c>
      <c r="EF119" s="16">
        <f t="shared" si="240"/>
        <v>-5</v>
      </c>
      <c r="EG119" s="16">
        <f t="shared" si="240"/>
        <v>-5</v>
      </c>
      <c r="EH119" s="16">
        <f t="shared" si="240"/>
        <v>-5</v>
      </c>
      <c r="EI119" s="16">
        <f t="shared" si="240"/>
        <v>-5</v>
      </c>
      <c r="EJ119" s="16">
        <f t="shared" si="240"/>
        <v>-5</v>
      </c>
      <c r="EK119" s="16">
        <f t="shared" si="240"/>
        <v>-5</v>
      </c>
      <c r="EL119" s="16">
        <f t="shared" si="240"/>
        <v>-5</v>
      </c>
      <c r="EM119" s="16">
        <f t="shared" si="240"/>
        <v>-5</v>
      </c>
      <c r="EN119" s="16">
        <f t="shared" si="240"/>
        <v>-5</v>
      </c>
      <c r="EO119" s="16">
        <f t="shared" si="240"/>
        <v>-5</v>
      </c>
      <c r="EP119" s="16">
        <f t="shared" si="240"/>
        <v>-5</v>
      </c>
      <c r="EQ119" s="16">
        <f t="shared" si="240"/>
        <v>-5</v>
      </c>
      <c r="ER119" s="16">
        <f t="shared" si="240"/>
        <v>-5</v>
      </c>
      <c r="ES119" s="16">
        <f t="shared" si="240"/>
        <v>-5</v>
      </c>
      <c r="ET119" s="16">
        <f t="shared" si="240"/>
        <v>-5</v>
      </c>
      <c r="EU119" s="16">
        <f t="shared" si="240"/>
        <v>-5</v>
      </c>
      <c r="EV119" s="16">
        <f t="shared" si="240"/>
        <v>-5</v>
      </c>
      <c r="EW119" s="16">
        <f t="shared" si="240"/>
        <v>-5</v>
      </c>
      <c r="EX119" s="16">
        <f t="shared" si="240"/>
        <v>-5</v>
      </c>
      <c r="EY119" s="16">
        <f t="shared" si="240"/>
        <v>-5</v>
      </c>
      <c r="EZ119" s="16">
        <f t="shared" si="240"/>
        <v>-5</v>
      </c>
      <c r="FA119" s="16">
        <f t="shared" si="240"/>
        <v>-5</v>
      </c>
      <c r="FB119" s="16">
        <f t="shared" si="240"/>
        <v>-5</v>
      </c>
      <c r="FC119" s="16">
        <f t="shared" si="240"/>
        <v>-5</v>
      </c>
      <c r="FD119" s="16">
        <f t="shared" si="240"/>
        <v>-5</v>
      </c>
      <c r="FE119" s="16">
        <f t="shared" si="240"/>
        <v>-5</v>
      </c>
      <c r="FF119" s="16">
        <f t="shared" si="240"/>
        <v>-5</v>
      </c>
      <c r="FG119" s="16">
        <f t="shared" si="240"/>
        <v>-5</v>
      </c>
      <c r="FH119" s="16">
        <f t="shared" si="240"/>
        <v>-5</v>
      </c>
      <c r="FI119" s="16">
        <f t="shared" si="240"/>
        <v>-5</v>
      </c>
      <c r="FJ119" s="16">
        <f t="shared" si="240"/>
        <v>-5</v>
      </c>
      <c r="FK119" s="16">
        <f t="shared" si="240"/>
        <v>-5</v>
      </c>
      <c r="FL119" s="16">
        <f t="shared" si="240"/>
        <v>-5</v>
      </c>
      <c r="FM119" s="16">
        <f t="shared" si="240"/>
        <v>-5</v>
      </c>
      <c r="FN119" s="16">
        <f t="shared" si="240"/>
        <v>-5</v>
      </c>
      <c r="FO119" s="16">
        <f t="shared" si="240"/>
        <v>-5</v>
      </c>
      <c r="FP119" s="16">
        <f t="shared" si="240"/>
        <v>-5</v>
      </c>
      <c r="FQ119" s="16">
        <f t="shared" si="240"/>
        <v>-5</v>
      </c>
      <c r="FR119" s="16">
        <f t="shared" si="240"/>
        <v>-5</v>
      </c>
      <c r="FS119" s="16">
        <f t="shared" si="240"/>
        <v>-5</v>
      </c>
      <c r="FT119" s="16">
        <f t="shared" si="240"/>
        <v>-5</v>
      </c>
      <c r="FU119" s="16">
        <f t="shared" si="240"/>
        <v>-5</v>
      </c>
      <c r="FV119" s="16">
        <f t="shared" si="240"/>
        <v>-5</v>
      </c>
      <c r="FW119" s="16">
        <f t="shared" si="240"/>
        <v>-5</v>
      </c>
      <c r="FX119" s="16">
        <f t="shared" si="240"/>
        <v>-5</v>
      </c>
      <c r="FY119" s="16">
        <f t="shared" si="240"/>
        <v>-5</v>
      </c>
      <c r="FZ119" s="16">
        <f t="shared" si="240"/>
        <v>-5</v>
      </c>
      <c r="GA119" s="16">
        <f t="shared" si="240"/>
        <v>-5</v>
      </c>
      <c r="GB119" s="16">
        <f t="shared" si="240"/>
        <v>-5</v>
      </c>
      <c r="GC119" s="16">
        <f t="shared" si="240"/>
        <v>-5</v>
      </c>
      <c r="GD119" s="16">
        <f t="shared" si="240"/>
        <v>-5</v>
      </c>
      <c r="GE119" s="16">
        <f t="shared" si="240"/>
        <v>-5</v>
      </c>
      <c r="GF119" s="16">
        <f t="shared" si="240"/>
        <v>-5</v>
      </c>
      <c r="GG119" s="16">
        <f t="shared" si="240"/>
        <v>-5</v>
      </c>
      <c r="GH119" s="16">
        <f t="shared" si="240"/>
        <v>-5</v>
      </c>
      <c r="GI119" s="16">
        <f t="shared" si="240"/>
        <v>-5</v>
      </c>
      <c r="GJ119" s="16">
        <f t="shared" si="240"/>
        <v>-5</v>
      </c>
      <c r="GK119" s="16">
        <f t="shared" si="240"/>
        <v>-5</v>
      </c>
      <c r="GL119" s="16">
        <f t="shared" si="240"/>
        <v>-5</v>
      </c>
      <c r="GM119" s="16">
        <f t="shared" si="240"/>
        <v>-5</v>
      </c>
      <c r="GN119" s="16">
        <f t="shared" si="240"/>
        <v>-5</v>
      </c>
      <c r="GO119" s="16">
        <f t="shared" si="240"/>
        <v>-5</v>
      </c>
    </row>
    <row r="120" spans="1:256" s="9" customFormat="1" ht="15">
      <c r="A120" s="4" t="s">
        <v>261</v>
      </c>
      <c r="B120" s="4">
        <v>28</v>
      </c>
      <c r="C120" s="12" t="s">
        <v>216</v>
      </c>
      <c r="AT120" s="19"/>
      <c r="AU120" s="19"/>
      <c r="AV120" s="19"/>
      <c r="AW120" s="19"/>
      <c r="BD120" s="30">
        <v>25</v>
      </c>
      <c r="BE120" s="30">
        <v>25</v>
      </c>
      <c r="BF120" s="30">
        <v>23.2</v>
      </c>
      <c r="BT120" s="31"/>
      <c r="BU120" s="31"/>
      <c r="BV120" s="31"/>
      <c r="DG120" s="29"/>
      <c r="DP120" s="29"/>
      <c r="DQ120" s="29"/>
      <c r="DR120" s="29"/>
      <c r="DS120" s="29"/>
      <c r="DT120" s="29"/>
      <c r="ED120" s="30">
        <v>10</v>
      </c>
      <c r="EE120" s="30"/>
      <c r="EF120" s="19"/>
      <c r="EP120" s="19">
        <v>20</v>
      </c>
      <c r="ER120" s="19">
        <v>7.6</v>
      </c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197" ht="15">
      <c r="A121" s="55" t="s">
        <v>262</v>
      </c>
      <c r="B121" s="55"/>
      <c r="C121" s="12" t="s">
        <v>217</v>
      </c>
      <c r="D121" s="14">
        <v>0</v>
      </c>
      <c r="E121" s="14">
        <f>D122</f>
        <v>0</v>
      </c>
      <c r="F121" s="14">
        <f aca="true" t="shared" si="241" ref="F121:BQ121">E122</f>
        <v>0</v>
      </c>
      <c r="G121" s="14">
        <f t="shared" si="241"/>
        <v>0</v>
      </c>
      <c r="H121" s="14">
        <f t="shared" si="241"/>
        <v>0</v>
      </c>
      <c r="I121" s="14">
        <f t="shared" si="241"/>
        <v>0</v>
      </c>
      <c r="J121" s="14">
        <f t="shared" si="241"/>
        <v>0</v>
      </c>
      <c r="K121" s="14">
        <f t="shared" si="241"/>
        <v>0</v>
      </c>
      <c r="L121" s="14">
        <f t="shared" si="241"/>
        <v>0</v>
      </c>
      <c r="M121" s="14">
        <f t="shared" si="241"/>
        <v>0</v>
      </c>
      <c r="N121" s="14">
        <f t="shared" si="241"/>
        <v>0</v>
      </c>
      <c r="O121" s="14">
        <f t="shared" si="241"/>
        <v>0</v>
      </c>
      <c r="P121" s="14">
        <f t="shared" si="241"/>
        <v>0</v>
      </c>
      <c r="Q121" s="14">
        <f t="shared" si="241"/>
        <v>0</v>
      </c>
      <c r="R121" s="14">
        <f t="shared" si="241"/>
        <v>0</v>
      </c>
      <c r="S121" s="14">
        <f t="shared" si="241"/>
        <v>0</v>
      </c>
      <c r="T121" s="14">
        <f t="shared" si="241"/>
        <v>0</v>
      </c>
      <c r="U121" s="14">
        <f t="shared" si="241"/>
        <v>0</v>
      </c>
      <c r="V121" s="14">
        <f t="shared" si="241"/>
        <v>0</v>
      </c>
      <c r="W121" s="14">
        <f t="shared" si="241"/>
        <v>0</v>
      </c>
      <c r="X121" s="14">
        <f t="shared" si="241"/>
        <v>0</v>
      </c>
      <c r="Y121" s="14">
        <f t="shared" si="241"/>
        <v>0</v>
      </c>
      <c r="Z121" s="14">
        <f t="shared" si="241"/>
        <v>0</v>
      </c>
      <c r="AA121" s="14">
        <f t="shared" si="241"/>
        <v>0</v>
      </c>
      <c r="AB121" s="14">
        <f t="shared" si="241"/>
        <v>0</v>
      </c>
      <c r="AC121" s="14">
        <f t="shared" si="241"/>
        <v>0</v>
      </c>
      <c r="AD121" s="14">
        <f t="shared" si="241"/>
        <v>0</v>
      </c>
      <c r="AE121" s="14">
        <f t="shared" si="241"/>
        <v>0</v>
      </c>
      <c r="AF121" s="14">
        <f t="shared" si="241"/>
        <v>0</v>
      </c>
      <c r="AG121" s="14">
        <f t="shared" si="241"/>
        <v>0</v>
      </c>
      <c r="AH121" s="14">
        <f>AG122+73.2</f>
        <v>73.2</v>
      </c>
      <c r="AI121" s="14">
        <f t="shared" si="241"/>
        <v>73.2</v>
      </c>
      <c r="AJ121" s="14">
        <f t="shared" si="241"/>
        <v>73.2</v>
      </c>
      <c r="AK121" s="14">
        <f t="shared" si="241"/>
        <v>73.2</v>
      </c>
      <c r="AL121" s="14">
        <f t="shared" si="241"/>
        <v>73.2</v>
      </c>
      <c r="AM121" s="14">
        <f t="shared" si="241"/>
        <v>73.2</v>
      </c>
      <c r="AN121" s="14">
        <f t="shared" si="241"/>
        <v>73.2</v>
      </c>
      <c r="AO121" s="14">
        <f t="shared" si="241"/>
        <v>73.2</v>
      </c>
      <c r="AP121" s="14">
        <f t="shared" si="241"/>
        <v>73.2</v>
      </c>
      <c r="AQ121" s="14">
        <f t="shared" si="241"/>
        <v>73.2</v>
      </c>
      <c r="AR121" s="14">
        <f t="shared" si="241"/>
        <v>73.2</v>
      </c>
      <c r="AS121" s="14">
        <f t="shared" si="241"/>
        <v>73.2</v>
      </c>
      <c r="AT121" s="14">
        <f t="shared" si="241"/>
        <v>73.2</v>
      </c>
      <c r="AU121" s="14">
        <f t="shared" si="241"/>
        <v>73.2</v>
      </c>
      <c r="AV121" s="14">
        <f t="shared" si="241"/>
        <v>73.2</v>
      </c>
      <c r="AW121" s="14">
        <f t="shared" si="241"/>
        <v>73.2</v>
      </c>
      <c r="AX121" s="14">
        <f t="shared" si="241"/>
        <v>73.2</v>
      </c>
      <c r="AY121" s="14">
        <f t="shared" si="241"/>
        <v>73.2</v>
      </c>
      <c r="AZ121" s="14">
        <f t="shared" si="241"/>
        <v>73.2</v>
      </c>
      <c r="BA121" s="14">
        <f t="shared" si="241"/>
        <v>73.2</v>
      </c>
      <c r="BB121" s="14">
        <f t="shared" si="241"/>
        <v>73.2</v>
      </c>
      <c r="BC121" s="14">
        <f t="shared" si="241"/>
        <v>73.2</v>
      </c>
      <c r="BD121" s="14">
        <f t="shared" si="241"/>
        <v>73.2</v>
      </c>
      <c r="BE121" s="14">
        <f t="shared" si="241"/>
        <v>48.2</v>
      </c>
      <c r="BF121" s="14">
        <f t="shared" si="241"/>
        <v>23.200000000000003</v>
      </c>
      <c r="BG121" s="14">
        <f t="shared" si="241"/>
        <v>0</v>
      </c>
      <c r="BH121" s="14">
        <f t="shared" si="241"/>
        <v>0</v>
      </c>
      <c r="BI121" s="14">
        <f t="shared" si="241"/>
        <v>0</v>
      </c>
      <c r="BJ121" s="14">
        <f t="shared" si="241"/>
        <v>0</v>
      </c>
      <c r="BK121" s="14">
        <f t="shared" si="241"/>
        <v>0</v>
      </c>
      <c r="BL121" s="14">
        <f t="shared" si="241"/>
        <v>0</v>
      </c>
      <c r="BM121" s="14">
        <f t="shared" si="241"/>
        <v>0</v>
      </c>
      <c r="BN121" s="14">
        <f t="shared" si="241"/>
        <v>0</v>
      </c>
      <c r="BO121" s="14">
        <f t="shared" si="241"/>
        <v>0</v>
      </c>
      <c r="BP121" s="14">
        <f t="shared" si="241"/>
        <v>0</v>
      </c>
      <c r="BQ121" s="14">
        <f t="shared" si="241"/>
        <v>0</v>
      </c>
      <c r="BR121" s="14">
        <f aca="true" t="shared" si="242" ref="BR121:EC121">BQ122</f>
        <v>0</v>
      </c>
      <c r="BS121" s="14">
        <f t="shared" si="242"/>
        <v>0</v>
      </c>
      <c r="BT121" s="26">
        <f t="shared" si="242"/>
        <v>0</v>
      </c>
      <c r="BU121" s="26">
        <f t="shared" si="242"/>
        <v>0</v>
      </c>
      <c r="BV121" s="26">
        <f t="shared" si="242"/>
        <v>0</v>
      </c>
      <c r="BW121" s="14">
        <f t="shared" si="242"/>
        <v>0</v>
      </c>
      <c r="BX121" s="14">
        <f t="shared" si="242"/>
        <v>0</v>
      </c>
      <c r="BY121" s="14">
        <f t="shared" si="242"/>
        <v>0</v>
      </c>
      <c r="BZ121" s="14">
        <f t="shared" si="242"/>
        <v>0</v>
      </c>
      <c r="CA121" s="14">
        <f t="shared" si="242"/>
        <v>0</v>
      </c>
      <c r="CB121" s="14">
        <f t="shared" si="242"/>
        <v>0</v>
      </c>
      <c r="CC121" s="14">
        <f t="shared" si="242"/>
        <v>0</v>
      </c>
      <c r="CD121" s="14">
        <f t="shared" si="242"/>
        <v>0</v>
      </c>
      <c r="CE121" s="14">
        <f t="shared" si="242"/>
        <v>0</v>
      </c>
      <c r="CF121" s="14">
        <f t="shared" si="242"/>
        <v>0</v>
      </c>
      <c r="CG121" s="14">
        <f t="shared" si="242"/>
        <v>0</v>
      </c>
      <c r="CH121" s="14">
        <f t="shared" si="242"/>
        <v>0</v>
      </c>
      <c r="CI121" s="14">
        <f t="shared" si="242"/>
        <v>0</v>
      </c>
      <c r="CJ121" s="14">
        <f t="shared" si="242"/>
        <v>0</v>
      </c>
      <c r="CK121" s="14">
        <f t="shared" si="242"/>
        <v>0</v>
      </c>
      <c r="CL121" s="14">
        <f t="shared" si="242"/>
        <v>0</v>
      </c>
      <c r="CM121" s="14">
        <f t="shared" si="242"/>
        <v>0</v>
      </c>
      <c r="CN121" s="14">
        <f t="shared" si="242"/>
        <v>0</v>
      </c>
      <c r="CO121" s="14">
        <f t="shared" si="242"/>
        <v>0</v>
      </c>
      <c r="CP121" s="14">
        <f t="shared" si="242"/>
        <v>0</v>
      </c>
      <c r="CQ121" s="14">
        <f t="shared" si="242"/>
        <v>0</v>
      </c>
      <c r="CR121" s="14">
        <f t="shared" si="242"/>
        <v>0</v>
      </c>
      <c r="CS121" s="14">
        <f t="shared" si="242"/>
        <v>0</v>
      </c>
      <c r="CT121" s="14">
        <f t="shared" si="242"/>
        <v>0</v>
      </c>
      <c r="CU121" s="14">
        <f t="shared" si="242"/>
        <v>0</v>
      </c>
      <c r="CV121" s="14">
        <f t="shared" si="242"/>
        <v>0</v>
      </c>
      <c r="CW121" s="14">
        <f t="shared" si="242"/>
        <v>0</v>
      </c>
      <c r="CX121" s="14">
        <f>CW122+37.8-0.2</f>
        <v>37.599999999999994</v>
      </c>
      <c r="CY121" s="14">
        <f t="shared" si="242"/>
        <v>37.599999999999994</v>
      </c>
      <c r="CZ121" s="14">
        <f t="shared" si="242"/>
        <v>37.599999999999994</v>
      </c>
      <c r="DA121" s="14">
        <f t="shared" si="242"/>
        <v>37.599999999999994</v>
      </c>
      <c r="DB121" s="14">
        <f t="shared" si="242"/>
        <v>37.599999999999994</v>
      </c>
      <c r="DC121" s="14">
        <f t="shared" si="242"/>
        <v>37.599999999999994</v>
      </c>
      <c r="DD121" s="14">
        <f t="shared" si="242"/>
        <v>37.599999999999994</v>
      </c>
      <c r="DE121" s="14">
        <f t="shared" si="242"/>
        <v>37.599999999999994</v>
      </c>
      <c r="DF121" s="14">
        <f t="shared" si="242"/>
        <v>37.599999999999994</v>
      </c>
      <c r="DG121" s="14">
        <f t="shared" si="242"/>
        <v>37.599999999999994</v>
      </c>
      <c r="DH121" s="14">
        <f t="shared" si="242"/>
        <v>37.599999999999994</v>
      </c>
      <c r="DI121" s="14">
        <f t="shared" si="242"/>
        <v>37.599999999999994</v>
      </c>
      <c r="DJ121" s="14">
        <f t="shared" si="242"/>
        <v>37.599999999999994</v>
      </c>
      <c r="DK121" s="14">
        <f t="shared" si="242"/>
        <v>37.599999999999994</v>
      </c>
      <c r="DL121" s="14">
        <f t="shared" si="242"/>
        <v>37.599999999999994</v>
      </c>
      <c r="DM121" s="14">
        <f t="shared" si="242"/>
        <v>37.599999999999994</v>
      </c>
      <c r="DN121" s="14">
        <f t="shared" si="242"/>
        <v>37.599999999999994</v>
      </c>
      <c r="DO121" s="14">
        <f t="shared" si="242"/>
        <v>37.599999999999994</v>
      </c>
      <c r="DP121" s="15">
        <f t="shared" si="242"/>
        <v>37.599999999999994</v>
      </c>
      <c r="DQ121" s="15">
        <f t="shared" si="242"/>
        <v>37.599999999999994</v>
      </c>
      <c r="DR121" s="15">
        <f t="shared" si="242"/>
        <v>37.599999999999994</v>
      </c>
      <c r="DS121" s="15">
        <f t="shared" si="242"/>
        <v>37.599999999999994</v>
      </c>
      <c r="DT121" s="15">
        <f t="shared" si="242"/>
        <v>37.599999999999994</v>
      </c>
      <c r="DU121" s="14">
        <f t="shared" si="242"/>
        <v>37.599999999999994</v>
      </c>
      <c r="DV121" s="14">
        <f t="shared" si="242"/>
        <v>37.599999999999994</v>
      </c>
      <c r="DW121" s="14">
        <f t="shared" si="242"/>
        <v>37.599999999999994</v>
      </c>
      <c r="DX121" s="14">
        <f t="shared" si="242"/>
        <v>37.599999999999994</v>
      </c>
      <c r="DY121" s="14">
        <f t="shared" si="242"/>
        <v>37.599999999999994</v>
      </c>
      <c r="DZ121" s="14">
        <f t="shared" si="242"/>
        <v>37.599999999999994</v>
      </c>
      <c r="EA121" s="14">
        <f t="shared" si="242"/>
        <v>37.599999999999994</v>
      </c>
      <c r="EB121" s="14">
        <f t="shared" si="242"/>
        <v>37.599999999999994</v>
      </c>
      <c r="EC121" s="14">
        <f t="shared" si="242"/>
        <v>37.599999999999994</v>
      </c>
      <c r="ED121" s="14">
        <f aca="true" t="shared" si="243" ref="ED121:GO121">EC122</f>
        <v>37.599999999999994</v>
      </c>
      <c r="EE121" s="14">
        <f t="shared" si="243"/>
        <v>27.599999999999994</v>
      </c>
      <c r="EF121" s="14">
        <f t="shared" si="243"/>
        <v>27.599999999999994</v>
      </c>
      <c r="EG121" s="14">
        <f t="shared" si="243"/>
        <v>27.599999999999994</v>
      </c>
      <c r="EH121" s="14">
        <f t="shared" si="243"/>
        <v>27.599999999999994</v>
      </c>
      <c r="EI121" s="14">
        <f t="shared" si="243"/>
        <v>27.599999999999994</v>
      </c>
      <c r="EJ121" s="14">
        <f t="shared" si="243"/>
        <v>27.599999999999994</v>
      </c>
      <c r="EK121" s="14">
        <f t="shared" si="243"/>
        <v>27.599999999999994</v>
      </c>
      <c r="EL121" s="14">
        <f t="shared" si="243"/>
        <v>27.599999999999994</v>
      </c>
      <c r="EM121" s="14">
        <f t="shared" si="243"/>
        <v>27.599999999999994</v>
      </c>
      <c r="EN121" s="14">
        <f t="shared" si="243"/>
        <v>27.599999999999994</v>
      </c>
      <c r="EO121" s="14">
        <f t="shared" si="243"/>
        <v>27.599999999999994</v>
      </c>
      <c r="EP121" s="14">
        <f t="shared" si="243"/>
        <v>27.599999999999994</v>
      </c>
      <c r="EQ121" s="14">
        <f t="shared" si="243"/>
        <v>7.599999999999994</v>
      </c>
      <c r="ER121" s="14">
        <f>EQ122</f>
        <v>7.599999999999994</v>
      </c>
      <c r="ES121" s="14">
        <f>ER122</f>
        <v>0</v>
      </c>
      <c r="ET121" s="14">
        <f>ES122-0.2</f>
        <v>-0.2</v>
      </c>
      <c r="EU121" s="14">
        <f t="shared" si="243"/>
        <v>-0.2</v>
      </c>
      <c r="EV121" s="14">
        <f t="shared" si="243"/>
        <v>-0.2</v>
      </c>
      <c r="EW121" s="14">
        <f t="shared" si="243"/>
        <v>-0.2</v>
      </c>
      <c r="EX121" s="14">
        <f t="shared" si="243"/>
        <v>-0.2</v>
      </c>
      <c r="EY121" s="14">
        <f t="shared" si="243"/>
        <v>-0.2</v>
      </c>
      <c r="EZ121" s="14">
        <f t="shared" si="243"/>
        <v>-0.2</v>
      </c>
      <c r="FA121" s="14">
        <f t="shared" si="243"/>
        <v>-0.2</v>
      </c>
      <c r="FB121" s="14">
        <f t="shared" si="243"/>
        <v>-0.2</v>
      </c>
      <c r="FC121" s="14">
        <f t="shared" si="243"/>
        <v>-0.2</v>
      </c>
      <c r="FD121" s="14">
        <f t="shared" si="243"/>
        <v>-0.2</v>
      </c>
      <c r="FE121" s="14">
        <f t="shared" si="243"/>
        <v>-0.2</v>
      </c>
      <c r="FF121" s="14">
        <f t="shared" si="243"/>
        <v>-0.2</v>
      </c>
      <c r="FG121" s="14">
        <f t="shared" si="243"/>
        <v>-0.2</v>
      </c>
      <c r="FH121" s="14">
        <f t="shared" si="243"/>
        <v>-0.2</v>
      </c>
      <c r="FI121" s="14">
        <f t="shared" si="243"/>
        <v>-0.2</v>
      </c>
      <c r="FJ121" s="14">
        <f t="shared" si="243"/>
        <v>-0.2</v>
      </c>
      <c r="FK121" s="14">
        <f t="shared" si="243"/>
        <v>-0.2</v>
      </c>
      <c r="FL121" s="14">
        <f t="shared" si="243"/>
        <v>-0.2</v>
      </c>
      <c r="FM121" s="14">
        <f t="shared" si="243"/>
        <v>-0.2</v>
      </c>
      <c r="FN121" s="14">
        <f t="shared" si="243"/>
        <v>-0.2</v>
      </c>
      <c r="FO121" s="14">
        <f t="shared" si="243"/>
        <v>-0.2</v>
      </c>
      <c r="FP121" s="14">
        <f t="shared" si="243"/>
        <v>-0.2</v>
      </c>
      <c r="FQ121" s="14">
        <f t="shared" si="243"/>
        <v>-0.2</v>
      </c>
      <c r="FR121" s="14">
        <f t="shared" si="243"/>
        <v>-0.2</v>
      </c>
      <c r="FS121" s="14">
        <f t="shared" si="243"/>
        <v>-0.2</v>
      </c>
      <c r="FT121" s="14">
        <f t="shared" si="243"/>
        <v>-0.2</v>
      </c>
      <c r="FU121" s="14">
        <f t="shared" si="243"/>
        <v>-0.2</v>
      </c>
      <c r="FV121" s="14">
        <f t="shared" si="243"/>
        <v>-0.2</v>
      </c>
      <c r="FW121" s="14">
        <f t="shared" si="243"/>
        <v>-0.2</v>
      </c>
      <c r="FX121" s="14">
        <f>FW122+47</f>
        <v>46.8</v>
      </c>
      <c r="FY121" s="14">
        <f t="shared" si="243"/>
        <v>46.8</v>
      </c>
      <c r="FZ121" s="14">
        <f t="shared" si="243"/>
        <v>46.8</v>
      </c>
      <c r="GA121" s="14">
        <f t="shared" si="243"/>
        <v>46.8</v>
      </c>
      <c r="GB121" s="14">
        <f t="shared" si="243"/>
        <v>46.8</v>
      </c>
      <c r="GC121" s="14">
        <f t="shared" si="243"/>
        <v>46.8</v>
      </c>
      <c r="GD121" s="14">
        <f t="shared" si="243"/>
        <v>46.8</v>
      </c>
      <c r="GE121" s="14">
        <f t="shared" si="243"/>
        <v>46.8</v>
      </c>
      <c r="GF121" s="14">
        <f t="shared" si="243"/>
        <v>46.8</v>
      </c>
      <c r="GG121" s="14">
        <f t="shared" si="243"/>
        <v>46.8</v>
      </c>
      <c r="GH121" s="14">
        <f t="shared" si="243"/>
        <v>46.8</v>
      </c>
      <c r="GI121" s="14">
        <f t="shared" si="243"/>
        <v>46.8</v>
      </c>
      <c r="GJ121" s="14">
        <f t="shared" si="243"/>
        <v>46.8</v>
      </c>
      <c r="GK121" s="14">
        <f t="shared" si="243"/>
        <v>46.8</v>
      </c>
      <c r="GL121" s="14">
        <f t="shared" si="243"/>
        <v>46.8</v>
      </c>
      <c r="GM121" s="14">
        <f t="shared" si="243"/>
        <v>46.8</v>
      </c>
      <c r="GN121" s="14">
        <f t="shared" si="243"/>
        <v>46.8</v>
      </c>
      <c r="GO121" s="14">
        <f t="shared" si="243"/>
        <v>46.8</v>
      </c>
    </row>
    <row r="122" spans="1:197" ht="15">
      <c r="A122" s="4"/>
      <c r="B122" s="4"/>
      <c r="C122" s="12" t="s">
        <v>218</v>
      </c>
      <c r="D122" s="16">
        <f>D121-D120</f>
        <v>0</v>
      </c>
      <c r="E122" s="16">
        <f>E121-E120</f>
        <v>0</v>
      </c>
      <c r="F122" s="16">
        <f aca="true" t="shared" si="244" ref="F122:BQ122">F121-F120</f>
        <v>0</v>
      </c>
      <c r="G122" s="16">
        <f t="shared" si="244"/>
        <v>0</v>
      </c>
      <c r="H122" s="16">
        <f t="shared" si="244"/>
        <v>0</v>
      </c>
      <c r="I122" s="16">
        <f t="shared" si="244"/>
        <v>0</v>
      </c>
      <c r="J122" s="16">
        <f t="shared" si="244"/>
        <v>0</v>
      </c>
      <c r="K122" s="16">
        <f t="shared" si="244"/>
        <v>0</v>
      </c>
      <c r="L122" s="16">
        <f t="shared" si="244"/>
        <v>0</v>
      </c>
      <c r="M122" s="16">
        <f t="shared" si="244"/>
        <v>0</v>
      </c>
      <c r="N122" s="16">
        <f t="shared" si="244"/>
        <v>0</v>
      </c>
      <c r="O122" s="16">
        <f t="shared" si="244"/>
        <v>0</v>
      </c>
      <c r="P122" s="16">
        <f t="shared" si="244"/>
        <v>0</v>
      </c>
      <c r="Q122" s="16">
        <f t="shared" si="244"/>
        <v>0</v>
      </c>
      <c r="R122" s="16">
        <f t="shared" si="244"/>
        <v>0</v>
      </c>
      <c r="S122" s="16">
        <f t="shared" si="244"/>
        <v>0</v>
      </c>
      <c r="T122" s="16">
        <f t="shared" si="244"/>
        <v>0</v>
      </c>
      <c r="U122" s="16">
        <f t="shared" si="244"/>
        <v>0</v>
      </c>
      <c r="V122" s="16">
        <f t="shared" si="244"/>
        <v>0</v>
      </c>
      <c r="W122" s="16">
        <f t="shared" si="244"/>
        <v>0</v>
      </c>
      <c r="X122" s="16">
        <f t="shared" si="244"/>
        <v>0</v>
      </c>
      <c r="Y122" s="16">
        <f t="shared" si="244"/>
        <v>0</v>
      </c>
      <c r="Z122" s="16">
        <f t="shared" si="244"/>
        <v>0</v>
      </c>
      <c r="AA122" s="16">
        <f t="shared" si="244"/>
        <v>0</v>
      </c>
      <c r="AB122" s="16">
        <f t="shared" si="244"/>
        <v>0</v>
      </c>
      <c r="AC122" s="16">
        <f t="shared" si="244"/>
        <v>0</v>
      </c>
      <c r="AD122" s="16">
        <f t="shared" si="244"/>
        <v>0</v>
      </c>
      <c r="AE122" s="16">
        <f t="shared" si="244"/>
        <v>0</v>
      </c>
      <c r="AF122" s="16">
        <f t="shared" si="244"/>
        <v>0</v>
      </c>
      <c r="AG122" s="16">
        <f t="shared" si="244"/>
        <v>0</v>
      </c>
      <c r="AH122" s="16">
        <f t="shared" si="244"/>
        <v>73.2</v>
      </c>
      <c r="AI122" s="16">
        <f t="shared" si="244"/>
        <v>73.2</v>
      </c>
      <c r="AJ122" s="16">
        <f t="shared" si="244"/>
        <v>73.2</v>
      </c>
      <c r="AK122" s="16">
        <f t="shared" si="244"/>
        <v>73.2</v>
      </c>
      <c r="AL122" s="16">
        <f t="shared" si="244"/>
        <v>73.2</v>
      </c>
      <c r="AM122" s="16">
        <f t="shared" si="244"/>
        <v>73.2</v>
      </c>
      <c r="AN122" s="16">
        <f t="shared" si="244"/>
        <v>73.2</v>
      </c>
      <c r="AO122" s="16">
        <f t="shared" si="244"/>
        <v>73.2</v>
      </c>
      <c r="AP122" s="16">
        <f t="shared" si="244"/>
        <v>73.2</v>
      </c>
      <c r="AQ122" s="16">
        <f t="shared" si="244"/>
        <v>73.2</v>
      </c>
      <c r="AR122" s="16">
        <f t="shared" si="244"/>
        <v>73.2</v>
      </c>
      <c r="AS122" s="16">
        <f t="shared" si="244"/>
        <v>73.2</v>
      </c>
      <c r="AT122" s="16">
        <f t="shared" si="244"/>
        <v>73.2</v>
      </c>
      <c r="AU122" s="16">
        <f t="shared" si="244"/>
        <v>73.2</v>
      </c>
      <c r="AV122" s="16">
        <f t="shared" si="244"/>
        <v>73.2</v>
      </c>
      <c r="AW122" s="16">
        <f t="shared" si="244"/>
        <v>73.2</v>
      </c>
      <c r="AX122" s="16">
        <f t="shared" si="244"/>
        <v>73.2</v>
      </c>
      <c r="AY122" s="16">
        <f t="shared" si="244"/>
        <v>73.2</v>
      </c>
      <c r="AZ122" s="16">
        <f t="shared" si="244"/>
        <v>73.2</v>
      </c>
      <c r="BA122" s="16">
        <f t="shared" si="244"/>
        <v>73.2</v>
      </c>
      <c r="BB122" s="16">
        <f t="shared" si="244"/>
        <v>73.2</v>
      </c>
      <c r="BC122" s="16">
        <f t="shared" si="244"/>
        <v>73.2</v>
      </c>
      <c r="BD122" s="16">
        <f t="shared" si="244"/>
        <v>48.2</v>
      </c>
      <c r="BE122" s="16">
        <f t="shared" si="244"/>
        <v>23.200000000000003</v>
      </c>
      <c r="BF122" s="16">
        <f t="shared" si="244"/>
        <v>0</v>
      </c>
      <c r="BG122" s="16">
        <f t="shared" si="244"/>
        <v>0</v>
      </c>
      <c r="BH122" s="16">
        <f t="shared" si="244"/>
        <v>0</v>
      </c>
      <c r="BI122" s="16">
        <f t="shared" si="244"/>
        <v>0</v>
      </c>
      <c r="BJ122" s="16">
        <f t="shared" si="244"/>
        <v>0</v>
      </c>
      <c r="BK122" s="16">
        <f t="shared" si="244"/>
        <v>0</v>
      </c>
      <c r="BL122" s="16">
        <f t="shared" si="244"/>
        <v>0</v>
      </c>
      <c r="BM122" s="16">
        <f t="shared" si="244"/>
        <v>0</v>
      </c>
      <c r="BN122" s="16">
        <f t="shared" si="244"/>
        <v>0</v>
      </c>
      <c r="BO122" s="16">
        <f t="shared" si="244"/>
        <v>0</v>
      </c>
      <c r="BP122" s="16">
        <f t="shared" si="244"/>
        <v>0</v>
      </c>
      <c r="BQ122" s="16">
        <f t="shared" si="244"/>
        <v>0</v>
      </c>
      <c r="BR122" s="16">
        <f aca="true" t="shared" si="245" ref="BR122:EC122">BR121-BR120</f>
        <v>0</v>
      </c>
      <c r="BS122" s="16">
        <f t="shared" si="245"/>
        <v>0</v>
      </c>
      <c r="BT122" s="27">
        <f t="shared" si="245"/>
        <v>0</v>
      </c>
      <c r="BU122" s="27">
        <f t="shared" si="245"/>
        <v>0</v>
      </c>
      <c r="BV122" s="27">
        <f t="shared" si="245"/>
        <v>0</v>
      </c>
      <c r="BW122" s="16">
        <f t="shared" si="245"/>
        <v>0</v>
      </c>
      <c r="BX122" s="16">
        <f t="shared" si="245"/>
        <v>0</v>
      </c>
      <c r="BY122" s="16">
        <f t="shared" si="245"/>
        <v>0</v>
      </c>
      <c r="BZ122" s="16">
        <f t="shared" si="245"/>
        <v>0</v>
      </c>
      <c r="CA122" s="16">
        <f t="shared" si="245"/>
        <v>0</v>
      </c>
      <c r="CB122" s="16">
        <f t="shared" si="245"/>
        <v>0</v>
      </c>
      <c r="CC122" s="16">
        <f t="shared" si="245"/>
        <v>0</v>
      </c>
      <c r="CD122" s="16">
        <f t="shared" si="245"/>
        <v>0</v>
      </c>
      <c r="CE122" s="16">
        <f t="shared" si="245"/>
        <v>0</v>
      </c>
      <c r="CF122" s="16">
        <f t="shared" si="245"/>
        <v>0</v>
      </c>
      <c r="CG122" s="16">
        <f t="shared" si="245"/>
        <v>0</v>
      </c>
      <c r="CH122" s="16">
        <f t="shared" si="245"/>
        <v>0</v>
      </c>
      <c r="CI122" s="16">
        <f t="shared" si="245"/>
        <v>0</v>
      </c>
      <c r="CJ122" s="16">
        <f t="shared" si="245"/>
        <v>0</v>
      </c>
      <c r="CK122" s="16">
        <f t="shared" si="245"/>
        <v>0</v>
      </c>
      <c r="CL122" s="16">
        <f t="shared" si="245"/>
        <v>0</v>
      </c>
      <c r="CM122" s="16">
        <f t="shared" si="245"/>
        <v>0</v>
      </c>
      <c r="CN122" s="16">
        <f t="shared" si="245"/>
        <v>0</v>
      </c>
      <c r="CO122" s="16">
        <f t="shared" si="245"/>
        <v>0</v>
      </c>
      <c r="CP122" s="16">
        <f t="shared" si="245"/>
        <v>0</v>
      </c>
      <c r="CQ122" s="16">
        <f t="shared" si="245"/>
        <v>0</v>
      </c>
      <c r="CR122" s="16">
        <f t="shared" si="245"/>
        <v>0</v>
      </c>
      <c r="CS122" s="16">
        <f t="shared" si="245"/>
        <v>0</v>
      </c>
      <c r="CT122" s="16">
        <f t="shared" si="245"/>
        <v>0</v>
      </c>
      <c r="CU122" s="16">
        <f t="shared" si="245"/>
        <v>0</v>
      </c>
      <c r="CV122" s="16">
        <f t="shared" si="245"/>
        <v>0</v>
      </c>
      <c r="CW122" s="16">
        <f t="shared" si="245"/>
        <v>0</v>
      </c>
      <c r="CX122" s="16">
        <f t="shared" si="245"/>
        <v>37.599999999999994</v>
      </c>
      <c r="CY122" s="16">
        <f t="shared" si="245"/>
        <v>37.599999999999994</v>
      </c>
      <c r="CZ122" s="16">
        <f t="shared" si="245"/>
        <v>37.599999999999994</v>
      </c>
      <c r="DA122" s="16">
        <f t="shared" si="245"/>
        <v>37.599999999999994</v>
      </c>
      <c r="DB122" s="16">
        <f t="shared" si="245"/>
        <v>37.599999999999994</v>
      </c>
      <c r="DC122" s="16">
        <f t="shared" si="245"/>
        <v>37.599999999999994</v>
      </c>
      <c r="DD122" s="16">
        <f t="shared" si="245"/>
        <v>37.599999999999994</v>
      </c>
      <c r="DE122" s="16">
        <f t="shared" si="245"/>
        <v>37.599999999999994</v>
      </c>
      <c r="DF122" s="16">
        <f t="shared" si="245"/>
        <v>37.599999999999994</v>
      </c>
      <c r="DG122" s="16">
        <f t="shared" si="245"/>
        <v>37.599999999999994</v>
      </c>
      <c r="DH122" s="16">
        <f t="shared" si="245"/>
        <v>37.599999999999994</v>
      </c>
      <c r="DI122" s="16">
        <f t="shared" si="245"/>
        <v>37.599999999999994</v>
      </c>
      <c r="DJ122" s="16">
        <f t="shared" si="245"/>
        <v>37.599999999999994</v>
      </c>
      <c r="DK122" s="16">
        <f t="shared" si="245"/>
        <v>37.599999999999994</v>
      </c>
      <c r="DL122" s="16">
        <f t="shared" si="245"/>
        <v>37.599999999999994</v>
      </c>
      <c r="DM122" s="16">
        <f t="shared" si="245"/>
        <v>37.599999999999994</v>
      </c>
      <c r="DN122" s="16">
        <f t="shared" si="245"/>
        <v>37.599999999999994</v>
      </c>
      <c r="DO122" s="16">
        <f t="shared" si="245"/>
        <v>37.599999999999994</v>
      </c>
      <c r="DP122" s="17">
        <f t="shared" si="245"/>
        <v>37.599999999999994</v>
      </c>
      <c r="DQ122" s="17">
        <f t="shared" si="245"/>
        <v>37.599999999999994</v>
      </c>
      <c r="DR122" s="17">
        <f t="shared" si="245"/>
        <v>37.599999999999994</v>
      </c>
      <c r="DS122" s="17">
        <f t="shared" si="245"/>
        <v>37.599999999999994</v>
      </c>
      <c r="DT122" s="17">
        <f t="shared" si="245"/>
        <v>37.599999999999994</v>
      </c>
      <c r="DU122" s="16">
        <f t="shared" si="245"/>
        <v>37.599999999999994</v>
      </c>
      <c r="DV122" s="16">
        <f t="shared" si="245"/>
        <v>37.599999999999994</v>
      </c>
      <c r="DW122" s="16">
        <f t="shared" si="245"/>
        <v>37.599999999999994</v>
      </c>
      <c r="DX122" s="16">
        <f t="shared" si="245"/>
        <v>37.599999999999994</v>
      </c>
      <c r="DY122" s="16">
        <f t="shared" si="245"/>
        <v>37.599999999999994</v>
      </c>
      <c r="DZ122" s="16">
        <f t="shared" si="245"/>
        <v>37.599999999999994</v>
      </c>
      <c r="EA122" s="16">
        <f t="shared" si="245"/>
        <v>37.599999999999994</v>
      </c>
      <c r="EB122" s="16">
        <f t="shared" si="245"/>
        <v>37.599999999999994</v>
      </c>
      <c r="EC122" s="16">
        <f t="shared" si="245"/>
        <v>37.599999999999994</v>
      </c>
      <c r="ED122" s="16">
        <f aca="true" t="shared" si="246" ref="ED122:GO122">ED121-ED120</f>
        <v>27.599999999999994</v>
      </c>
      <c r="EE122" s="16">
        <f t="shared" si="246"/>
        <v>27.599999999999994</v>
      </c>
      <c r="EF122" s="16">
        <f t="shared" si="246"/>
        <v>27.599999999999994</v>
      </c>
      <c r="EG122" s="16">
        <f t="shared" si="246"/>
        <v>27.599999999999994</v>
      </c>
      <c r="EH122" s="16">
        <f t="shared" si="246"/>
        <v>27.599999999999994</v>
      </c>
      <c r="EI122" s="16">
        <f t="shared" si="246"/>
        <v>27.599999999999994</v>
      </c>
      <c r="EJ122" s="16">
        <f t="shared" si="246"/>
        <v>27.599999999999994</v>
      </c>
      <c r="EK122" s="16">
        <f t="shared" si="246"/>
        <v>27.599999999999994</v>
      </c>
      <c r="EL122" s="16">
        <f t="shared" si="246"/>
        <v>27.599999999999994</v>
      </c>
      <c r="EM122" s="16">
        <f t="shared" si="246"/>
        <v>27.599999999999994</v>
      </c>
      <c r="EN122" s="16">
        <f t="shared" si="246"/>
        <v>27.599999999999994</v>
      </c>
      <c r="EO122" s="16">
        <f t="shared" si="246"/>
        <v>27.599999999999994</v>
      </c>
      <c r="EP122" s="16">
        <f t="shared" si="246"/>
        <v>7.599999999999994</v>
      </c>
      <c r="EQ122" s="16">
        <f t="shared" si="246"/>
        <v>7.599999999999994</v>
      </c>
      <c r="ER122" s="16">
        <f t="shared" si="246"/>
        <v>0</v>
      </c>
      <c r="ES122" s="16">
        <f t="shared" si="246"/>
        <v>0</v>
      </c>
      <c r="ET122" s="16">
        <f t="shared" si="246"/>
        <v>-0.2</v>
      </c>
      <c r="EU122" s="16">
        <f t="shared" si="246"/>
        <v>-0.2</v>
      </c>
      <c r="EV122" s="16">
        <f t="shared" si="246"/>
        <v>-0.2</v>
      </c>
      <c r="EW122" s="16">
        <f t="shared" si="246"/>
        <v>-0.2</v>
      </c>
      <c r="EX122" s="16">
        <f t="shared" si="246"/>
        <v>-0.2</v>
      </c>
      <c r="EY122" s="16">
        <f t="shared" si="246"/>
        <v>-0.2</v>
      </c>
      <c r="EZ122" s="16">
        <f t="shared" si="246"/>
        <v>-0.2</v>
      </c>
      <c r="FA122" s="16">
        <f t="shared" si="246"/>
        <v>-0.2</v>
      </c>
      <c r="FB122" s="16">
        <f t="shared" si="246"/>
        <v>-0.2</v>
      </c>
      <c r="FC122" s="16">
        <f t="shared" si="246"/>
        <v>-0.2</v>
      </c>
      <c r="FD122" s="16">
        <f t="shared" si="246"/>
        <v>-0.2</v>
      </c>
      <c r="FE122" s="16">
        <f t="shared" si="246"/>
        <v>-0.2</v>
      </c>
      <c r="FF122" s="16">
        <f t="shared" si="246"/>
        <v>-0.2</v>
      </c>
      <c r="FG122" s="16">
        <f t="shared" si="246"/>
        <v>-0.2</v>
      </c>
      <c r="FH122" s="16">
        <f t="shared" si="246"/>
        <v>-0.2</v>
      </c>
      <c r="FI122" s="16">
        <f t="shared" si="246"/>
        <v>-0.2</v>
      </c>
      <c r="FJ122" s="16">
        <f t="shared" si="246"/>
        <v>-0.2</v>
      </c>
      <c r="FK122" s="16">
        <f t="shared" si="246"/>
        <v>-0.2</v>
      </c>
      <c r="FL122" s="16">
        <f t="shared" si="246"/>
        <v>-0.2</v>
      </c>
      <c r="FM122" s="16">
        <f t="shared" si="246"/>
        <v>-0.2</v>
      </c>
      <c r="FN122" s="16">
        <f t="shared" si="246"/>
        <v>-0.2</v>
      </c>
      <c r="FO122" s="16">
        <f t="shared" si="246"/>
        <v>-0.2</v>
      </c>
      <c r="FP122" s="16">
        <f t="shared" si="246"/>
        <v>-0.2</v>
      </c>
      <c r="FQ122" s="16">
        <f t="shared" si="246"/>
        <v>-0.2</v>
      </c>
      <c r="FR122" s="16">
        <f t="shared" si="246"/>
        <v>-0.2</v>
      </c>
      <c r="FS122" s="16">
        <f t="shared" si="246"/>
        <v>-0.2</v>
      </c>
      <c r="FT122" s="16">
        <f t="shared" si="246"/>
        <v>-0.2</v>
      </c>
      <c r="FU122" s="16">
        <f t="shared" si="246"/>
        <v>-0.2</v>
      </c>
      <c r="FV122" s="16">
        <f t="shared" si="246"/>
        <v>-0.2</v>
      </c>
      <c r="FW122" s="16">
        <f t="shared" si="246"/>
        <v>-0.2</v>
      </c>
      <c r="FX122" s="16">
        <f t="shared" si="246"/>
        <v>46.8</v>
      </c>
      <c r="FY122" s="16">
        <f t="shared" si="246"/>
        <v>46.8</v>
      </c>
      <c r="FZ122" s="16">
        <f t="shared" si="246"/>
        <v>46.8</v>
      </c>
      <c r="GA122" s="16">
        <f t="shared" si="246"/>
        <v>46.8</v>
      </c>
      <c r="GB122" s="16">
        <f t="shared" si="246"/>
        <v>46.8</v>
      </c>
      <c r="GC122" s="16">
        <f t="shared" si="246"/>
        <v>46.8</v>
      </c>
      <c r="GD122" s="16">
        <f t="shared" si="246"/>
        <v>46.8</v>
      </c>
      <c r="GE122" s="16">
        <f t="shared" si="246"/>
        <v>46.8</v>
      </c>
      <c r="GF122" s="16">
        <f t="shared" si="246"/>
        <v>46.8</v>
      </c>
      <c r="GG122" s="16">
        <f t="shared" si="246"/>
        <v>46.8</v>
      </c>
      <c r="GH122" s="16">
        <f t="shared" si="246"/>
        <v>46.8</v>
      </c>
      <c r="GI122" s="16">
        <f t="shared" si="246"/>
        <v>46.8</v>
      </c>
      <c r="GJ122" s="16">
        <f t="shared" si="246"/>
        <v>46.8</v>
      </c>
      <c r="GK122" s="16">
        <f t="shared" si="246"/>
        <v>46.8</v>
      </c>
      <c r="GL122" s="16">
        <f t="shared" si="246"/>
        <v>46.8</v>
      </c>
      <c r="GM122" s="16">
        <f t="shared" si="246"/>
        <v>46.8</v>
      </c>
      <c r="GN122" s="16">
        <f t="shared" si="246"/>
        <v>46.8</v>
      </c>
      <c r="GO122" s="16">
        <f t="shared" si="246"/>
        <v>46.8</v>
      </c>
    </row>
    <row r="123" spans="1:256" s="9" customFormat="1" ht="15">
      <c r="A123" s="4" t="s">
        <v>263</v>
      </c>
      <c r="B123" s="4">
        <v>28</v>
      </c>
      <c r="C123" s="12" t="s">
        <v>216</v>
      </c>
      <c r="AE123" s="19">
        <v>12.9</v>
      </c>
      <c r="BP123" s="19">
        <v>17.5</v>
      </c>
      <c r="BT123" s="31"/>
      <c r="BU123" s="31"/>
      <c r="BV123" s="31"/>
      <c r="CI123" s="9">
        <v>2.9</v>
      </c>
      <c r="DJ123" s="19">
        <v>7</v>
      </c>
      <c r="DP123" s="29"/>
      <c r="DQ123" s="19">
        <v>12</v>
      </c>
      <c r="DR123" s="29"/>
      <c r="DS123" s="29"/>
      <c r="DT123" s="29"/>
      <c r="EW123" s="29"/>
      <c r="EX123" s="30">
        <v>13.5</v>
      </c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197" ht="15">
      <c r="A124" s="55" t="s">
        <v>264</v>
      </c>
      <c r="B124" s="55"/>
      <c r="C124" s="12" t="s">
        <v>217</v>
      </c>
      <c r="D124" s="14">
        <v>33.6</v>
      </c>
      <c r="E124" s="14">
        <f>D125</f>
        <v>33.6</v>
      </c>
      <c r="F124" s="14">
        <f aca="true" t="shared" si="247" ref="F124:BQ124">E125</f>
        <v>33.6</v>
      </c>
      <c r="G124" s="14">
        <f t="shared" si="247"/>
        <v>33.6</v>
      </c>
      <c r="H124" s="14">
        <f t="shared" si="247"/>
        <v>33.6</v>
      </c>
      <c r="I124" s="14">
        <f t="shared" si="247"/>
        <v>33.6</v>
      </c>
      <c r="J124" s="14">
        <f t="shared" si="247"/>
        <v>33.6</v>
      </c>
      <c r="K124" s="14">
        <f t="shared" si="247"/>
        <v>33.6</v>
      </c>
      <c r="L124" s="14">
        <f t="shared" si="247"/>
        <v>33.6</v>
      </c>
      <c r="M124" s="14">
        <f t="shared" si="247"/>
        <v>33.6</v>
      </c>
      <c r="N124" s="14">
        <f t="shared" si="247"/>
        <v>33.6</v>
      </c>
      <c r="O124" s="14">
        <f t="shared" si="247"/>
        <v>33.6</v>
      </c>
      <c r="P124" s="14">
        <f t="shared" si="247"/>
        <v>33.6</v>
      </c>
      <c r="Q124" s="14">
        <f t="shared" si="247"/>
        <v>33.6</v>
      </c>
      <c r="R124" s="14">
        <f t="shared" si="247"/>
        <v>33.6</v>
      </c>
      <c r="S124" s="14">
        <f t="shared" si="247"/>
        <v>33.6</v>
      </c>
      <c r="T124" s="14">
        <f t="shared" si="247"/>
        <v>33.6</v>
      </c>
      <c r="U124" s="14">
        <f t="shared" si="247"/>
        <v>33.6</v>
      </c>
      <c r="V124" s="14">
        <f t="shared" si="247"/>
        <v>33.6</v>
      </c>
      <c r="W124" s="14">
        <f t="shared" si="247"/>
        <v>33.6</v>
      </c>
      <c r="X124" s="14">
        <f t="shared" si="247"/>
        <v>33.6</v>
      </c>
      <c r="Y124" s="14">
        <f t="shared" si="247"/>
        <v>33.6</v>
      </c>
      <c r="Z124" s="14">
        <f t="shared" si="247"/>
        <v>33.6</v>
      </c>
      <c r="AA124" s="14">
        <f t="shared" si="247"/>
        <v>33.6</v>
      </c>
      <c r="AB124" s="14">
        <f t="shared" si="247"/>
        <v>33.6</v>
      </c>
      <c r="AC124" s="14">
        <f t="shared" si="247"/>
        <v>33.6</v>
      </c>
      <c r="AD124" s="14">
        <f t="shared" si="247"/>
        <v>33.6</v>
      </c>
      <c r="AE124" s="14">
        <f>AD125+16.2</f>
        <v>49.8</v>
      </c>
      <c r="AF124" s="14">
        <f t="shared" si="247"/>
        <v>36.9</v>
      </c>
      <c r="AG124" s="14">
        <f t="shared" si="247"/>
        <v>36.9</v>
      </c>
      <c r="AH124" s="14">
        <f t="shared" si="247"/>
        <v>36.9</v>
      </c>
      <c r="AI124" s="14">
        <f t="shared" si="247"/>
        <v>36.9</v>
      </c>
      <c r="AJ124" s="14">
        <f t="shared" si="247"/>
        <v>36.9</v>
      </c>
      <c r="AK124" s="14">
        <f t="shared" si="247"/>
        <v>36.9</v>
      </c>
      <c r="AL124" s="14">
        <f t="shared" si="247"/>
        <v>36.9</v>
      </c>
      <c r="AM124" s="14">
        <f t="shared" si="247"/>
        <v>36.9</v>
      </c>
      <c r="AN124" s="14">
        <f t="shared" si="247"/>
        <v>36.9</v>
      </c>
      <c r="AO124" s="14">
        <f t="shared" si="247"/>
        <v>36.9</v>
      </c>
      <c r="AP124" s="14">
        <f t="shared" si="247"/>
        <v>36.9</v>
      </c>
      <c r="AQ124" s="14">
        <f t="shared" si="247"/>
        <v>36.9</v>
      </c>
      <c r="AR124" s="14">
        <f t="shared" si="247"/>
        <v>36.9</v>
      </c>
      <c r="AS124" s="14">
        <f t="shared" si="247"/>
        <v>36.9</v>
      </c>
      <c r="AT124" s="14">
        <f t="shared" si="247"/>
        <v>36.9</v>
      </c>
      <c r="AU124" s="14">
        <f t="shared" si="247"/>
        <v>36.9</v>
      </c>
      <c r="AV124" s="14">
        <f t="shared" si="247"/>
        <v>36.9</v>
      </c>
      <c r="AW124" s="14">
        <f t="shared" si="247"/>
        <v>36.9</v>
      </c>
      <c r="AX124" s="14">
        <f t="shared" si="247"/>
        <v>36.9</v>
      </c>
      <c r="AY124" s="14">
        <f t="shared" si="247"/>
        <v>36.9</v>
      </c>
      <c r="AZ124" s="14">
        <f t="shared" si="247"/>
        <v>36.9</v>
      </c>
      <c r="BA124" s="14">
        <f t="shared" si="247"/>
        <v>36.9</v>
      </c>
      <c r="BB124" s="14">
        <f t="shared" si="247"/>
        <v>36.9</v>
      </c>
      <c r="BC124" s="14">
        <f t="shared" si="247"/>
        <v>36.9</v>
      </c>
      <c r="BD124" s="14">
        <f t="shared" si="247"/>
        <v>36.9</v>
      </c>
      <c r="BE124" s="14">
        <f t="shared" si="247"/>
        <v>36.9</v>
      </c>
      <c r="BF124" s="14">
        <f t="shared" si="247"/>
        <v>36.9</v>
      </c>
      <c r="BG124" s="14">
        <f t="shared" si="247"/>
        <v>36.9</v>
      </c>
      <c r="BH124" s="14">
        <f t="shared" si="247"/>
        <v>36.9</v>
      </c>
      <c r="BI124" s="14">
        <f t="shared" si="247"/>
        <v>36.9</v>
      </c>
      <c r="BJ124" s="14">
        <f t="shared" si="247"/>
        <v>36.9</v>
      </c>
      <c r="BK124" s="14">
        <f t="shared" si="247"/>
        <v>36.9</v>
      </c>
      <c r="BL124" s="14">
        <f t="shared" si="247"/>
        <v>36.9</v>
      </c>
      <c r="BM124" s="14">
        <f t="shared" si="247"/>
        <v>36.9</v>
      </c>
      <c r="BN124" s="14">
        <f t="shared" si="247"/>
        <v>36.9</v>
      </c>
      <c r="BO124" s="14">
        <f t="shared" si="247"/>
        <v>36.9</v>
      </c>
      <c r="BP124" s="14">
        <f>BO125+14.4</f>
        <v>51.3</v>
      </c>
      <c r="BQ124" s="14">
        <f t="shared" si="247"/>
        <v>33.8</v>
      </c>
      <c r="BR124" s="14">
        <f aca="true" t="shared" si="248" ref="BR124:EC124">BQ125</f>
        <v>33.8</v>
      </c>
      <c r="BS124" s="14">
        <f t="shared" si="248"/>
        <v>33.8</v>
      </c>
      <c r="BT124" s="26">
        <f t="shared" si="248"/>
        <v>33.8</v>
      </c>
      <c r="BU124" s="26">
        <f t="shared" si="248"/>
        <v>33.8</v>
      </c>
      <c r="BV124" s="26">
        <f t="shared" si="248"/>
        <v>33.8</v>
      </c>
      <c r="BW124" s="14">
        <f t="shared" si="248"/>
        <v>33.8</v>
      </c>
      <c r="BX124" s="14">
        <f t="shared" si="248"/>
        <v>33.8</v>
      </c>
      <c r="BY124" s="14">
        <f>BX125+7</f>
        <v>40.8</v>
      </c>
      <c r="BZ124" s="14">
        <f t="shared" si="248"/>
        <v>40.8</v>
      </c>
      <c r="CA124" s="14">
        <f t="shared" si="248"/>
        <v>40.8</v>
      </c>
      <c r="CB124" s="14">
        <f t="shared" si="248"/>
        <v>40.8</v>
      </c>
      <c r="CC124" s="14">
        <f t="shared" si="248"/>
        <v>40.8</v>
      </c>
      <c r="CD124" s="14">
        <f t="shared" si="248"/>
        <v>40.8</v>
      </c>
      <c r="CE124" s="14">
        <f t="shared" si="248"/>
        <v>40.8</v>
      </c>
      <c r="CF124" s="14">
        <f t="shared" si="248"/>
        <v>40.8</v>
      </c>
      <c r="CG124" s="14">
        <f t="shared" si="248"/>
        <v>40.8</v>
      </c>
      <c r="CH124" s="14">
        <f t="shared" si="248"/>
        <v>40.8</v>
      </c>
      <c r="CI124" s="14">
        <f t="shared" si="248"/>
        <v>40.8</v>
      </c>
      <c r="CJ124" s="14">
        <f t="shared" si="248"/>
        <v>37.9</v>
      </c>
      <c r="CK124" s="14">
        <f t="shared" si="248"/>
        <v>37.9</v>
      </c>
      <c r="CL124" s="14">
        <f t="shared" si="248"/>
        <v>37.9</v>
      </c>
      <c r="CM124" s="14">
        <f t="shared" si="248"/>
        <v>37.9</v>
      </c>
      <c r="CN124" s="14">
        <f t="shared" si="248"/>
        <v>37.9</v>
      </c>
      <c r="CO124" s="14">
        <f t="shared" si="248"/>
        <v>37.9</v>
      </c>
      <c r="CP124" s="14">
        <f t="shared" si="248"/>
        <v>37.9</v>
      </c>
      <c r="CQ124" s="14">
        <f t="shared" si="248"/>
        <v>37.9</v>
      </c>
      <c r="CR124" s="14">
        <f t="shared" si="248"/>
        <v>37.9</v>
      </c>
      <c r="CS124" s="14">
        <f t="shared" si="248"/>
        <v>37.9</v>
      </c>
      <c r="CT124" s="14">
        <f t="shared" si="248"/>
        <v>37.9</v>
      </c>
      <c r="CU124" s="14">
        <f t="shared" si="248"/>
        <v>37.9</v>
      </c>
      <c r="CV124" s="14">
        <f t="shared" si="248"/>
        <v>37.9</v>
      </c>
      <c r="CW124" s="14">
        <f t="shared" si="248"/>
        <v>37.9</v>
      </c>
      <c r="CX124" s="14">
        <f t="shared" si="248"/>
        <v>37.9</v>
      </c>
      <c r="CY124" s="14">
        <f t="shared" si="248"/>
        <v>37.9</v>
      </c>
      <c r="CZ124" s="14">
        <f t="shared" si="248"/>
        <v>37.9</v>
      </c>
      <c r="DA124" s="14">
        <f t="shared" si="248"/>
        <v>37.9</v>
      </c>
      <c r="DB124" s="14">
        <f t="shared" si="248"/>
        <v>37.9</v>
      </c>
      <c r="DC124" s="14">
        <f t="shared" si="248"/>
        <v>37.9</v>
      </c>
      <c r="DD124" s="14">
        <f t="shared" si="248"/>
        <v>37.9</v>
      </c>
      <c r="DE124" s="14">
        <f>DD125</f>
        <v>37.9</v>
      </c>
      <c r="DF124" s="14">
        <f t="shared" si="248"/>
        <v>37.9</v>
      </c>
      <c r="DG124" s="14">
        <f t="shared" si="248"/>
        <v>37.9</v>
      </c>
      <c r="DH124" s="14">
        <f t="shared" si="248"/>
        <v>37.9</v>
      </c>
      <c r="DI124" s="14">
        <f t="shared" si="248"/>
        <v>37.9</v>
      </c>
      <c r="DJ124" s="14">
        <f>DI125+8.8</f>
        <v>46.7</v>
      </c>
      <c r="DK124" s="14">
        <f t="shared" si="248"/>
        <v>39.7</v>
      </c>
      <c r="DL124" s="14">
        <f t="shared" si="248"/>
        <v>39.7</v>
      </c>
      <c r="DM124" s="14">
        <f t="shared" si="248"/>
        <v>39.7</v>
      </c>
      <c r="DN124" s="14">
        <f t="shared" si="248"/>
        <v>39.7</v>
      </c>
      <c r="DO124" s="14">
        <f t="shared" si="248"/>
        <v>39.7</v>
      </c>
      <c r="DP124" s="15">
        <f t="shared" si="248"/>
        <v>39.7</v>
      </c>
      <c r="DQ124" s="15">
        <f>DP125+0.7</f>
        <v>40.400000000000006</v>
      </c>
      <c r="DR124" s="15">
        <f t="shared" si="248"/>
        <v>28.400000000000006</v>
      </c>
      <c r="DS124" s="15">
        <f t="shared" si="248"/>
        <v>28.400000000000006</v>
      </c>
      <c r="DT124" s="15">
        <f t="shared" si="248"/>
        <v>28.400000000000006</v>
      </c>
      <c r="DU124" s="14">
        <f t="shared" si="248"/>
        <v>28.400000000000006</v>
      </c>
      <c r="DV124" s="14">
        <f t="shared" si="248"/>
        <v>28.400000000000006</v>
      </c>
      <c r="DW124" s="14">
        <f t="shared" si="248"/>
        <v>28.400000000000006</v>
      </c>
      <c r="DX124" s="14">
        <f t="shared" si="248"/>
        <v>28.400000000000006</v>
      </c>
      <c r="DY124" s="14">
        <f t="shared" si="248"/>
        <v>28.400000000000006</v>
      </c>
      <c r="DZ124" s="14">
        <f t="shared" si="248"/>
        <v>28.400000000000006</v>
      </c>
      <c r="EA124" s="14">
        <f t="shared" si="248"/>
        <v>28.400000000000006</v>
      </c>
      <c r="EB124" s="14">
        <f t="shared" si="248"/>
        <v>28.400000000000006</v>
      </c>
      <c r="EC124" s="14">
        <f t="shared" si="248"/>
        <v>28.400000000000006</v>
      </c>
      <c r="ED124" s="14">
        <f aca="true" t="shared" si="249" ref="ED124:GO124">EC125</f>
        <v>28.400000000000006</v>
      </c>
      <c r="EE124" s="14">
        <f t="shared" si="249"/>
        <v>28.400000000000006</v>
      </c>
      <c r="EF124" s="14">
        <f t="shared" si="249"/>
        <v>28.400000000000006</v>
      </c>
      <c r="EG124" s="14">
        <f t="shared" si="249"/>
        <v>28.400000000000006</v>
      </c>
      <c r="EH124" s="14">
        <f t="shared" si="249"/>
        <v>28.400000000000006</v>
      </c>
      <c r="EI124" s="14">
        <f t="shared" si="249"/>
        <v>28.400000000000006</v>
      </c>
      <c r="EJ124" s="14">
        <f t="shared" si="249"/>
        <v>28.400000000000006</v>
      </c>
      <c r="EK124" s="14">
        <f t="shared" si="249"/>
        <v>28.400000000000006</v>
      </c>
      <c r="EL124" s="14">
        <f t="shared" si="249"/>
        <v>28.400000000000006</v>
      </c>
      <c r="EM124" s="14">
        <f t="shared" si="249"/>
        <v>28.400000000000006</v>
      </c>
      <c r="EN124" s="14">
        <f t="shared" si="249"/>
        <v>28.400000000000006</v>
      </c>
      <c r="EO124" s="14">
        <f t="shared" si="249"/>
        <v>28.400000000000006</v>
      </c>
      <c r="EP124" s="14">
        <f t="shared" si="249"/>
        <v>28.400000000000006</v>
      </c>
      <c r="EQ124" s="14">
        <f t="shared" si="249"/>
        <v>28.400000000000006</v>
      </c>
      <c r="ER124" s="14">
        <f>EQ125+9.8</f>
        <v>38.2</v>
      </c>
      <c r="ES124" s="14">
        <f>ER125</f>
        <v>38.2</v>
      </c>
      <c r="ET124" s="14">
        <f>ES125</f>
        <v>38.2</v>
      </c>
      <c r="EU124" s="14">
        <f t="shared" si="249"/>
        <v>38.2</v>
      </c>
      <c r="EV124" s="14">
        <f t="shared" si="249"/>
        <v>38.2</v>
      </c>
      <c r="EW124" s="14">
        <f t="shared" si="249"/>
        <v>38.2</v>
      </c>
      <c r="EX124" s="14">
        <f t="shared" si="249"/>
        <v>38.2</v>
      </c>
      <c r="EY124" s="14">
        <f t="shared" si="249"/>
        <v>24.700000000000003</v>
      </c>
      <c r="EZ124" s="14">
        <f t="shared" si="249"/>
        <v>24.700000000000003</v>
      </c>
      <c r="FA124" s="14">
        <f t="shared" si="249"/>
        <v>24.700000000000003</v>
      </c>
      <c r="FB124" s="14">
        <f t="shared" si="249"/>
        <v>24.700000000000003</v>
      </c>
      <c r="FC124" s="14">
        <f t="shared" si="249"/>
        <v>24.700000000000003</v>
      </c>
      <c r="FD124" s="14">
        <f t="shared" si="249"/>
        <v>24.700000000000003</v>
      </c>
      <c r="FE124" s="14">
        <f t="shared" si="249"/>
        <v>24.700000000000003</v>
      </c>
      <c r="FF124" s="14">
        <f t="shared" si="249"/>
        <v>24.700000000000003</v>
      </c>
      <c r="FG124" s="14">
        <f t="shared" si="249"/>
        <v>24.700000000000003</v>
      </c>
      <c r="FH124" s="14">
        <f t="shared" si="249"/>
        <v>24.700000000000003</v>
      </c>
      <c r="FI124" s="14">
        <f t="shared" si="249"/>
        <v>24.700000000000003</v>
      </c>
      <c r="FJ124" s="14">
        <f t="shared" si="249"/>
        <v>24.700000000000003</v>
      </c>
      <c r="FK124" s="14">
        <f t="shared" si="249"/>
        <v>24.700000000000003</v>
      </c>
      <c r="FL124" s="14">
        <f t="shared" si="249"/>
        <v>24.700000000000003</v>
      </c>
      <c r="FM124" s="14">
        <f t="shared" si="249"/>
        <v>24.700000000000003</v>
      </c>
      <c r="FN124" s="14">
        <f t="shared" si="249"/>
        <v>24.700000000000003</v>
      </c>
      <c r="FO124" s="14">
        <f t="shared" si="249"/>
        <v>24.700000000000003</v>
      </c>
      <c r="FP124" s="14">
        <f t="shared" si="249"/>
        <v>24.700000000000003</v>
      </c>
      <c r="FQ124" s="14">
        <f t="shared" si="249"/>
        <v>24.700000000000003</v>
      </c>
      <c r="FR124" s="14">
        <f t="shared" si="249"/>
        <v>24.700000000000003</v>
      </c>
      <c r="FS124" s="14">
        <f t="shared" si="249"/>
        <v>24.700000000000003</v>
      </c>
      <c r="FT124" s="14">
        <f t="shared" si="249"/>
        <v>24.700000000000003</v>
      </c>
      <c r="FU124" s="14">
        <f t="shared" si="249"/>
        <v>24.700000000000003</v>
      </c>
      <c r="FV124" s="14">
        <f t="shared" si="249"/>
        <v>24.700000000000003</v>
      </c>
      <c r="FW124" s="14">
        <f t="shared" si="249"/>
        <v>24.700000000000003</v>
      </c>
      <c r="FX124" s="14">
        <f>FW125+11.7</f>
        <v>36.400000000000006</v>
      </c>
      <c r="FY124" s="14">
        <f t="shared" si="249"/>
        <v>36.400000000000006</v>
      </c>
      <c r="FZ124" s="14">
        <f t="shared" si="249"/>
        <v>36.400000000000006</v>
      </c>
      <c r="GA124" s="14">
        <f t="shared" si="249"/>
        <v>36.400000000000006</v>
      </c>
      <c r="GB124" s="14">
        <f t="shared" si="249"/>
        <v>36.400000000000006</v>
      </c>
      <c r="GC124" s="14">
        <f t="shared" si="249"/>
        <v>36.400000000000006</v>
      </c>
      <c r="GD124" s="14">
        <f t="shared" si="249"/>
        <v>36.400000000000006</v>
      </c>
      <c r="GE124" s="14">
        <f t="shared" si="249"/>
        <v>36.400000000000006</v>
      </c>
      <c r="GF124" s="14">
        <f t="shared" si="249"/>
        <v>36.400000000000006</v>
      </c>
      <c r="GG124" s="14">
        <f t="shared" si="249"/>
        <v>36.400000000000006</v>
      </c>
      <c r="GH124" s="14">
        <f t="shared" si="249"/>
        <v>36.400000000000006</v>
      </c>
      <c r="GI124" s="14">
        <f t="shared" si="249"/>
        <v>36.400000000000006</v>
      </c>
      <c r="GJ124" s="14">
        <f t="shared" si="249"/>
        <v>36.400000000000006</v>
      </c>
      <c r="GK124" s="14">
        <f t="shared" si="249"/>
        <v>36.400000000000006</v>
      </c>
      <c r="GL124" s="14">
        <f t="shared" si="249"/>
        <v>36.400000000000006</v>
      </c>
      <c r="GM124" s="14">
        <f t="shared" si="249"/>
        <v>36.400000000000006</v>
      </c>
      <c r="GN124" s="14">
        <f t="shared" si="249"/>
        <v>36.400000000000006</v>
      </c>
      <c r="GO124" s="14">
        <f t="shared" si="249"/>
        <v>36.400000000000006</v>
      </c>
    </row>
    <row r="125" spans="1:197" ht="15">
      <c r="A125" s="4"/>
      <c r="B125" s="4"/>
      <c r="C125" s="12" t="s">
        <v>218</v>
      </c>
      <c r="D125" s="16">
        <f>D124-D123</f>
        <v>33.6</v>
      </c>
      <c r="E125" s="16">
        <f>E124-E123</f>
        <v>33.6</v>
      </c>
      <c r="F125" s="16">
        <f aca="true" t="shared" si="250" ref="F125:BQ125">F124-F123</f>
        <v>33.6</v>
      </c>
      <c r="G125" s="16">
        <f t="shared" si="250"/>
        <v>33.6</v>
      </c>
      <c r="H125" s="16">
        <f t="shared" si="250"/>
        <v>33.6</v>
      </c>
      <c r="I125" s="16">
        <f t="shared" si="250"/>
        <v>33.6</v>
      </c>
      <c r="J125" s="16">
        <f t="shared" si="250"/>
        <v>33.6</v>
      </c>
      <c r="K125" s="16">
        <f t="shared" si="250"/>
        <v>33.6</v>
      </c>
      <c r="L125" s="16">
        <f t="shared" si="250"/>
        <v>33.6</v>
      </c>
      <c r="M125" s="16">
        <f t="shared" si="250"/>
        <v>33.6</v>
      </c>
      <c r="N125" s="16">
        <f t="shared" si="250"/>
        <v>33.6</v>
      </c>
      <c r="O125" s="16">
        <f t="shared" si="250"/>
        <v>33.6</v>
      </c>
      <c r="P125" s="16">
        <f t="shared" si="250"/>
        <v>33.6</v>
      </c>
      <c r="Q125" s="16">
        <f t="shared" si="250"/>
        <v>33.6</v>
      </c>
      <c r="R125" s="16">
        <f t="shared" si="250"/>
        <v>33.6</v>
      </c>
      <c r="S125" s="16">
        <f t="shared" si="250"/>
        <v>33.6</v>
      </c>
      <c r="T125" s="16">
        <f t="shared" si="250"/>
        <v>33.6</v>
      </c>
      <c r="U125" s="16">
        <f t="shared" si="250"/>
        <v>33.6</v>
      </c>
      <c r="V125" s="16">
        <f t="shared" si="250"/>
        <v>33.6</v>
      </c>
      <c r="W125" s="16">
        <f t="shared" si="250"/>
        <v>33.6</v>
      </c>
      <c r="X125" s="16">
        <f t="shared" si="250"/>
        <v>33.6</v>
      </c>
      <c r="Y125" s="16">
        <f t="shared" si="250"/>
        <v>33.6</v>
      </c>
      <c r="Z125" s="16">
        <f t="shared" si="250"/>
        <v>33.6</v>
      </c>
      <c r="AA125" s="16">
        <f t="shared" si="250"/>
        <v>33.6</v>
      </c>
      <c r="AB125" s="16">
        <f t="shared" si="250"/>
        <v>33.6</v>
      </c>
      <c r="AC125" s="16">
        <f t="shared" si="250"/>
        <v>33.6</v>
      </c>
      <c r="AD125" s="16">
        <f t="shared" si="250"/>
        <v>33.6</v>
      </c>
      <c r="AE125" s="16">
        <f t="shared" si="250"/>
        <v>36.9</v>
      </c>
      <c r="AF125" s="16">
        <f t="shared" si="250"/>
        <v>36.9</v>
      </c>
      <c r="AG125" s="16">
        <f t="shared" si="250"/>
        <v>36.9</v>
      </c>
      <c r="AH125" s="16">
        <f t="shared" si="250"/>
        <v>36.9</v>
      </c>
      <c r="AI125" s="16">
        <f t="shared" si="250"/>
        <v>36.9</v>
      </c>
      <c r="AJ125" s="16">
        <f t="shared" si="250"/>
        <v>36.9</v>
      </c>
      <c r="AK125" s="16">
        <f t="shared" si="250"/>
        <v>36.9</v>
      </c>
      <c r="AL125" s="16">
        <f t="shared" si="250"/>
        <v>36.9</v>
      </c>
      <c r="AM125" s="16">
        <f t="shared" si="250"/>
        <v>36.9</v>
      </c>
      <c r="AN125" s="16">
        <f t="shared" si="250"/>
        <v>36.9</v>
      </c>
      <c r="AO125" s="16">
        <f t="shared" si="250"/>
        <v>36.9</v>
      </c>
      <c r="AP125" s="16">
        <f t="shared" si="250"/>
        <v>36.9</v>
      </c>
      <c r="AQ125" s="16">
        <f t="shared" si="250"/>
        <v>36.9</v>
      </c>
      <c r="AR125" s="16">
        <f t="shared" si="250"/>
        <v>36.9</v>
      </c>
      <c r="AS125" s="16">
        <f t="shared" si="250"/>
        <v>36.9</v>
      </c>
      <c r="AT125" s="16">
        <f t="shared" si="250"/>
        <v>36.9</v>
      </c>
      <c r="AU125" s="16">
        <f t="shared" si="250"/>
        <v>36.9</v>
      </c>
      <c r="AV125" s="16">
        <f t="shared" si="250"/>
        <v>36.9</v>
      </c>
      <c r="AW125" s="16">
        <f t="shared" si="250"/>
        <v>36.9</v>
      </c>
      <c r="AX125" s="16">
        <f t="shared" si="250"/>
        <v>36.9</v>
      </c>
      <c r="AY125" s="16">
        <f t="shared" si="250"/>
        <v>36.9</v>
      </c>
      <c r="AZ125" s="16">
        <f t="shared" si="250"/>
        <v>36.9</v>
      </c>
      <c r="BA125" s="16">
        <f t="shared" si="250"/>
        <v>36.9</v>
      </c>
      <c r="BB125" s="16">
        <f t="shared" si="250"/>
        <v>36.9</v>
      </c>
      <c r="BC125" s="16">
        <f t="shared" si="250"/>
        <v>36.9</v>
      </c>
      <c r="BD125" s="16">
        <f t="shared" si="250"/>
        <v>36.9</v>
      </c>
      <c r="BE125" s="16">
        <f t="shared" si="250"/>
        <v>36.9</v>
      </c>
      <c r="BF125" s="16">
        <f t="shared" si="250"/>
        <v>36.9</v>
      </c>
      <c r="BG125" s="16">
        <f t="shared" si="250"/>
        <v>36.9</v>
      </c>
      <c r="BH125" s="16">
        <f t="shared" si="250"/>
        <v>36.9</v>
      </c>
      <c r="BI125" s="16">
        <f t="shared" si="250"/>
        <v>36.9</v>
      </c>
      <c r="BJ125" s="16">
        <f t="shared" si="250"/>
        <v>36.9</v>
      </c>
      <c r="BK125" s="16">
        <f t="shared" si="250"/>
        <v>36.9</v>
      </c>
      <c r="BL125" s="16">
        <f t="shared" si="250"/>
        <v>36.9</v>
      </c>
      <c r="BM125" s="16">
        <f t="shared" si="250"/>
        <v>36.9</v>
      </c>
      <c r="BN125" s="16">
        <f t="shared" si="250"/>
        <v>36.9</v>
      </c>
      <c r="BO125" s="16">
        <f t="shared" si="250"/>
        <v>36.9</v>
      </c>
      <c r="BP125" s="16">
        <f t="shared" si="250"/>
        <v>33.8</v>
      </c>
      <c r="BQ125" s="16">
        <f t="shared" si="250"/>
        <v>33.8</v>
      </c>
      <c r="BR125" s="16">
        <f aca="true" t="shared" si="251" ref="BR125:EC125">BR124-BR123</f>
        <v>33.8</v>
      </c>
      <c r="BS125" s="16">
        <f t="shared" si="251"/>
        <v>33.8</v>
      </c>
      <c r="BT125" s="27">
        <f t="shared" si="251"/>
        <v>33.8</v>
      </c>
      <c r="BU125" s="27">
        <f t="shared" si="251"/>
        <v>33.8</v>
      </c>
      <c r="BV125" s="27">
        <f t="shared" si="251"/>
        <v>33.8</v>
      </c>
      <c r="BW125" s="16">
        <f t="shared" si="251"/>
        <v>33.8</v>
      </c>
      <c r="BX125" s="16">
        <f t="shared" si="251"/>
        <v>33.8</v>
      </c>
      <c r="BY125" s="16">
        <f t="shared" si="251"/>
        <v>40.8</v>
      </c>
      <c r="BZ125" s="16">
        <f t="shared" si="251"/>
        <v>40.8</v>
      </c>
      <c r="CA125" s="16">
        <f t="shared" si="251"/>
        <v>40.8</v>
      </c>
      <c r="CB125" s="16">
        <f t="shared" si="251"/>
        <v>40.8</v>
      </c>
      <c r="CC125" s="16">
        <f t="shared" si="251"/>
        <v>40.8</v>
      </c>
      <c r="CD125" s="16">
        <f t="shared" si="251"/>
        <v>40.8</v>
      </c>
      <c r="CE125" s="16">
        <f t="shared" si="251"/>
        <v>40.8</v>
      </c>
      <c r="CF125" s="16">
        <f t="shared" si="251"/>
        <v>40.8</v>
      </c>
      <c r="CG125" s="16">
        <f t="shared" si="251"/>
        <v>40.8</v>
      </c>
      <c r="CH125" s="16">
        <f t="shared" si="251"/>
        <v>40.8</v>
      </c>
      <c r="CI125" s="16">
        <f t="shared" si="251"/>
        <v>37.9</v>
      </c>
      <c r="CJ125" s="16">
        <f t="shared" si="251"/>
        <v>37.9</v>
      </c>
      <c r="CK125" s="16">
        <f t="shared" si="251"/>
        <v>37.9</v>
      </c>
      <c r="CL125" s="16">
        <f t="shared" si="251"/>
        <v>37.9</v>
      </c>
      <c r="CM125" s="16">
        <f t="shared" si="251"/>
        <v>37.9</v>
      </c>
      <c r="CN125" s="16">
        <f t="shared" si="251"/>
        <v>37.9</v>
      </c>
      <c r="CO125" s="16">
        <f t="shared" si="251"/>
        <v>37.9</v>
      </c>
      <c r="CP125" s="16">
        <f t="shared" si="251"/>
        <v>37.9</v>
      </c>
      <c r="CQ125" s="16">
        <f t="shared" si="251"/>
        <v>37.9</v>
      </c>
      <c r="CR125" s="16">
        <f t="shared" si="251"/>
        <v>37.9</v>
      </c>
      <c r="CS125" s="16">
        <f t="shared" si="251"/>
        <v>37.9</v>
      </c>
      <c r="CT125" s="16">
        <f t="shared" si="251"/>
        <v>37.9</v>
      </c>
      <c r="CU125" s="16">
        <f t="shared" si="251"/>
        <v>37.9</v>
      </c>
      <c r="CV125" s="16">
        <f t="shared" si="251"/>
        <v>37.9</v>
      </c>
      <c r="CW125" s="16">
        <f t="shared" si="251"/>
        <v>37.9</v>
      </c>
      <c r="CX125" s="16">
        <f t="shared" si="251"/>
        <v>37.9</v>
      </c>
      <c r="CY125" s="16">
        <f t="shared" si="251"/>
        <v>37.9</v>
      </c>
      <c r="CZ125" s="16">
        <f t="shared" si="251"/>
        <v>37.9</v>
      </c>
      <c r="DA125" s="16">
        <f t="shared" si="251"/>
        <v>37.9</v>
      </c>
      <c r="DB125" s="16">
        <f t="shared" si="251"/>
        <v>37.9</v>
      </c>
      <c r="DC125" s="16">
        <f t="shared" si="251"/>
        <v>37.9</v>
      </c>
      <c r="DD125" s="16">
        <f t="shared" si="251"/>
        <v>37.9</v>
      </c>
      <c r="DE125" s="16">
        <f t="shared" si="251"/>
        <v>37.9</v>
      </c>
      <c r="DF125" s="16">
        <f t="shared" si="251"/>
        <v>37.9</v>
      </c>
      <c r="DG125" s="16">
        <f t="shared" si="251"/>
        <v>37.9</v>
      </c>
      <c r="DH125" s="16">
        <f t="shared" si="251"/>
        <v>37.9</v>
      </c>
      <c r="DI125" s="16">
        <f t="shared" si="251"/>
        <v>37.9</v>
      </c>
      <c r="DJ125" s="16">
        <f t="shared" si="251"/>
        <v>39.7</v>
      </c>
      <c r="DK125" s="16">
        <f t="shared" si="251"/>
        <v>39.7</v>
      </c>
      <c r="DL125" s="16">
        <f t="shared" si="251"/>
        <v>39.7</v>
      </c>
      <c r="DM125" s="16">
        <f t="shared" si="251"/>
        <v>39.7</v>
      </c>
      <c r="DN125" s="16">
        <f t="shared" si="251"/>
        <v>39.7</v>
      </c>
      <c r="DO125" s="16">
        <f t="shared" si="251"/>
        <v>39.7</v>
      </c>
      <c r="DP125" s="17">
        <f t="shared" si="251"/>
        <v>39.7</v>
      </c>
      <c r="DQ125" s="17">
        <f t="shared" si="251"/>
        <v>28.400000000000006</v>
      </c>
      <c r="DR125" s="17">
        <f t="shared" si="251"/>
        <v>28.400000000000006</v>
      </c>
      <c r="DS125" s="17">
        <f t="shared" si="251"/>
        <v>28.400000000000006</v>
      </c>
      <c r="DT125" s="17">
        <f t="shared" si="251"/>
        <v>28.400000000000006</v>
      </c>
      <c r="DU125" s="16">
        <f t="shared" si="251"/>
        <v>28.400000000000006</v>
      </c>
      <c r="DV125" s="16">
        <f t="shared" si="251"/>
        <v>28.400000000000006</v>
      </c>
      <c r="DW125" s="16">
        <f t="shared" si="251"/>
        <v>28.400000000000006</v>
      </c>
      <c r="DX125" s="16">
        <f t="shared" si="251"/>
        <v>28.400000000000006</v>
      </c>
      <c r="DY125" s="16">
        <f t="shared" si="251"/>
        <v>28.400000000000006</v>
      </c>
      <c r="DZ125" s="16">
        <f t="shared" si="251"/>
        <v>28.400000000000006</v>
      </c>
      <c r="EA125" s="16">
        <f t="shared" si="251"/>
        <v>28.400000000000006</v>
      </c>
      <c r="EB125" s="16">
        <f t="shared" si="251"/>
        <v>28.400000000000006</v>
      </c>
      <c r="EC125" s="16">
        <f t="shared" si="251"/>
        <v>28.400000000000006</v>
      </c>
      <c r="ED125" s="16">
        <f aca="true" t="shared" si="252" ref="ED125:GO125">ED124-ED123</f>
        <v>28.400000000000006</v>
      </c>
      <c r="EE125" s="16">
        <f t="shared" si="252"/>
        <v>28.400000000000006</v>
      </c>
      <c r="EF125" s="16">
        <f t="shared" si="252"/>
        <v>28.400000000000006</v>
      </c>
      <c r="EG125" s="16">
        <f t="shared" si="252"/>
        <v>28.400000000000006</v>
      </c>
      <c r="EH125" s="16">
        <f t="shared" si="252"/>
        <v>28.400000000000006</v>
      </c>
      <c r="EI125" s="16">
        <f t="shared" si="252"/>
        <v>28.400000000000006</v>
      </c>
      <c r="EJ125" s="16">
        <f t="shared" si="252"/>
        <v>28.400000000000006</v>
      </c>
      <c r="EK125" s="16">
        <f t="shared" si="252"/>
        <v>28.400000000000006</v>
      </c>
      <c r="EL125" s="16">
        <f t="shared" si="252"/>
        <v>28.400000000000006</v>
      </c>
      <c r="EM125" s="16">
        <f t="shared" si="252"/>
        <v>28.400000000000006</v>
      </c>
      <c r="EN125" s="16">
        <f t="shared" si="252"/>
        <v>28.400000000000006</v>
      </c>
      <c r="EO125" s="16">
        <f t="shared" si="252"/>
        <v>28.400000000000006</v>
      </c>
      <c r="EP125" s="16">
        <f t="shared" si="252"/>
        <v>28.400000000000006</v>
      </c>
      <c r="EQ125" s="16">
        <f t="shared" si="252"/>
        <v>28.400000000000006</v>
      </c>
      <c r="ER125" s="16">
        <f t="shared" si="252"/>
        <v>38.2</v>
      </c>
      <c r="ES125" s="16">
        <f t="shared" si="252"/>
        <v>38.2</v>
      </c>
      <c r="ET125" s="16">
        <f t="shared" si="252"/>
        <v>38.2</v>
      </c>
      <c r="EU125" s="16">
        <f t="shared" si="252"/>
        <v>38.2</v>
      </c>
      <c r="EV125" s="16">
        <f t="shared" si="252"/>
        <v>38.2</v>
      </c>
      <c r="EW125" s="16">
        <f t="shared" si="252"/>
        <v>38.2</v>
      </c>
      <c r="EX125" s="16">
        <f t="shared" si="252"/>
        <v>24.700000000000003</v>
      </c>
      <c r="EY125" s="16">
        <f t="shared" si="252"/>
        <v>24.700000000000003</v>
      </c>
      <c r="EZ125" s="16">
        <f t="shared" si="252"/>
        <v>24.700000000000003</v>
      </c>
      <c r="FA125" s="16">
        <f t="shared" si="252"/>
        <v>24.700000000000003</v>
      </c>
      <c r="FB125" s="16">
        <f t="shared" si="252"/>
        <v>24.700000000000003</v>
      </c>
      <c r="FC125" s="16">
        <f t="shared" si="252"/>
        <v>24.700000000000003</v>
      </c>
      <c r="FD125" s="16">
        <f t="shared" si="252"/>
        <v>24.700000000000003</v>
      </c>
      <c r="FE125" s="16">
        <f t="shared" si="252"/>
        <v>24.700000000000003</v>
      </c>
      <c r="FF125" s="16">
        <f t="shared" si="252"/>
        <v>24.700000000000003</v>
      </c>
      <c r="FG125" s="16">
        <f t="shared" si="252"/>
        <v>24.700000000000003</v>
      </c>
      <c r="FH125" s="16">
        <f t="shared" si="252"/>
        <v>24.700000000000003</v>
      </c>
      <c r="FI125" s="16">
        <f t="shared" si="252"/>
        <v>24.700000000000003</v>
      </c>
      <c r="FJ125" s="16">
        <f t="shared" si="252"/>
        <v>24.700000000000003</v>
      </c>
      <c r="FK125" s="16">
        <f t="shared" si="252"/>
        <v>24.700000000000003</v>
      </c>
      <c r="FL125" s="16">
        <f t="shared" si="252"/>
        <v>24.700000000000003</v>
      </c>
      <c r="FM125" s="16">
        <f t="shared" si="252"/>
        <v>24.700000000000003</v>
      </c>
      <c r="FN125" s="16">
        <f t="shared" si="252"/>
        <v>24.700000000000003</v>
      </c>
      <c r="FO125" s="16">
        <f t="shared" si="252"/>
        <v>24.700000000000003</v>
      </c>
      <c r="FP125" s="16">
        <f t="shared" si="252"/>
        <v>24.700000000000003</v>
      </c>
      <c r="FQ125" s="16">
        <f t="shared" si="252"/>
        <v>24.700000000000003</v>
      </c>
      <c r="FR125" s="16">
        <f t="shared" si="252"/>
        <v>24.700000000000003</v>
      </c>
      <c r="FS125" s="16">
        <f t="shared" si="252"/>
        <v>24.700000000000003</v>
      </c>
      <c r="FT125" s="16">
        <f t="shared" si="252"/>
        <v>24.700000000000003</v>
      </c>
      <c r="FU125" s="16">
        <f t="shared" si="252"/>
        <v>24.700000000000003</v>
      </c>
      <c r="FV125" s="16">
        <f t="shared" si="252"/>
        <v>24.700000000000003</v>
      </c>
      <c r="FW125" s="16">
        <f t="shared" si="252"/>
        <v>24.700000000000003</v>
      </c>
      <c r="FX125" s="16">
        <f t="shared" si="252"/>
        <v>36.400000000000006</v>
      </c>
      <c r="FY125" s="16">
        <f t="shared" si="252"/>
        <v>36.400000000000006</v>
      </c>
      <c r="FZ125" s="16">
        <f t="shared" si="252"/>
        <v>36.400000000000006</v>
      </c>
      <c r="GA125" s="16">
        <f t="shared" si="252"/>
        <v>36.400000000000006</v>
      </c>
      <c r="GB125" s="16">
        <f t="shared" si="252"/>
        <v>36.400000000000006</v>
      </c>
      <c r="GC125" s="16">
        <f t="shared" si="252"/>
        <v>36.400000000000006</v>
      </c>
      <c r="GD125" s="16">
        <f t="shared" si="252"/>
        <v>36.400000000000006</v>
      </c>
      <c r="GE125" s="16">
        <f t="shared" si="252"/>
        <v>36.400000000000006</v>
      </c>
      <c r="GF125" s="16">
        <f t="shared" si="252"/>
        <v>36.400000000000006</v>
      </c>
      <c r="GG125" s="16">
        <f t="shared" si="252"/>
        <v>36.400000000000006</v>
      </c>
      <c r="GH125" s="16">
        <f t="shared" si="252"/>
        <v>36.400000000000006</v>
      </c>
      <c r="GI125" s="16">
        <f t="shared" si="252"/>
        <v>36.400000000000006</v>
      </c>
      <c r="GJ125" s="16">
        <f t="shared" si="252"/>
        <v>36.400000000000006</v>
      </c>
      <c r="GK125" s="16">
        <f t="shared" si="252"/>
        <v>36.400000000000006</v>
      </c>
      <c r="GL125" s="16">
        <f t="shared" si="252"/>
        <v>36.400000000000006</v>
      </c>
      <c r="GM125" s="16">
        <f t="shared" si="252"/>
        <v>36.400000000000006</v>
      </c>
      <c r="GN125" s="16">
        <f t="shared" si="252"/>
        <v>36.400000000000006</v>
      </c>
      <c r="GO125" s="16">
        <f t="shared" si="252"/>
        <v>36.400000000000006</v>
      </c>
    </row>
    <row r="126" spans="1:256" s="9" customFormat="1" ht="15">
      <c r="A126" s="4" t="s">
        <v>265</v>
      </c>
      <c r="B126" s="4"/>
      <c r="C126" s="12" t="s">
        <v>216</v>
      </c>
      <c r="BT126" s="31"/>
      <c r="BU126" s="31"/>
      <c r="BV126" s="31"/>
      <c r="DP126" s="29"/>
      <c r="DQ126" s="29"/>
      <c r="DR126" s="29"/>
      <c r="DS126" s="29"/>
      <c r="DT126" s="29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197" ht="15">
      <c r="A127" s="4"/>
      <c r="B127" s="4"/>
      <c r="C127" s="12" t="s">
        <v>217</v>
      </c>
      <c r="D127" s="14">
        <v>68.9</v>
      </c>
      <c r="E127" s="14">
        <f>D128</f>
        <v>68.9</v>
      </c>
      <c r="F127" s="14">
        <f aca="true" t="shared" si="253" ref="F127:BQ127">E128</f>
        <v>68.9</v>
      </c>
      <c r="G127" s="14">
        <f t="shared" si="253"/>
        <v>68.9</v>
      </c>
      <c r="H127" s="14">
        <f t="shared" si="253"/>
        <v>68.9</v>
      </c>
      <c r="I127" s="14">
        <f t="shared" si="253"/>
        <v>68.9</v>
      </c>
      <c r="J127" s="14">
        <f t="shared" si="253"/>
        <v>68.9</v>
      </c>
      <c r="K127" s="14">
        <f t="shared" si="253"/>
        <v>68.9</v>
      </c>
      <c r="L127" s="14">
        <f t="shared" si="253"/>
        <v>68.9</v>
      </c>
      <c r="M127" s="14">
        <f t="shared" si="253"/>
        <v>68.9</v>
      </c>
      <c r="N127" s="14">
        <f t="shared" si="253"/>
        <v>68.9</v>
      </c>
      <c r="O127" s="14">
        <f t="shared" si="253"/>
        <v>68.9</v>
      </c>
      <c r="P127" s="14">
        <f t="shared" si="253"/>
        <v>68.9</v>
      </c>
      <c r="Q127" s="14">
        <f t="shared" si="253"/>
        <v>68.9</v>
      </c>
      <c r="R127" s="14">
        <f t="shared" si="253"/>
        <v>68.9</v>
      </c>
      <c r="S127" s="14">
        <f t="shared" si="253"/>
        <v>68.9</v>
      </c>
      <c r="T127" s="14">
        <f t="shared" si="253"/>
        <v>68.9</v>
      </c>
      <c r="U127" s="14">
        <f t="shared" si="253"/>
        <v>68.9</v>
      </c>
      <c r="V127" s="14">
        <f t="shared" si="253"/>
        <v>68.9</v>
      </c>
      <c r="W127" s="14">
        <f t="shared" si="253"/>
        <v>68.9</v>
      </c>
      <c r="X127" s="14">
        <f t="shared" si="253"/>
        <v>68.9</v>
      </c>
      <c r="Y127" s="14">
        <f t="shared" si="253"/>
        <v>68.9</v>
      </c>
      <c r="Z127" s="14">
        <f t="shared" si="253"/>
        <v>68.9</v>
      </c>
      <c r="AA127" s="14">
        <f t="shared" si="253"/>
        <v>68.9</v>
      </c>
      <c r="AB127" s="14">
        <f t="shared" si="253"/>
        <v>68.9</v>
      </c>
      <c r="AC127" s="14">
        <f t="shared" si="253"/>
        <v>68.9</v>
      </c>
      <c r="AD127" s="14">
        <f t="shared" si="253"/>
        <v>68.9</v>
      </c>
      <c r="AE127" s="14">
        <f t="shared" si="253"/>
        <v>68.9</v>
      </c>
      <c r="AF127" s="14">
        <f t="shared" si="253"/>
        <v>68.9</v>
      </c>
      <c r="AG127" s="14">
        <f t="shared" si="253"/>
        <v>68.9</v>
      </c>
      <c r="AH127" s="14">
        <f t="shared" si="253"/>
        <v>68.9</v>
      </c>
      <c r="AI127" s="14">
        <f t="shared" si="253"/>
        <v>68.9</v>
      </c>
      <c r="AJ127" s="14">
        <f t="shared" si="253"/>
        <v>68.9</v>
      </c>
      <c r="AK127" s="14">
        <f t="shared" si="253"/>
        <v>68.9</v>
      </c>
      <c r="AL127" s="14">
        <f t="shared" si="253"/>
        <v>68.9</v>
      </c>
      <c r="AM127" s="14">
        <f t="shared" si="253"/>
        <v>68.9</v>
      </c>
      <c r="AN127" s="14">
        <f t="shared" si="253"/>
        <v>68.9</v>
      </c>
      <c r="AO127" s="14">
        <f t="shared" si="253"/>
        <v>68.9</v>
      </c>
      <c r="AP127" s="14">
        <f t="shared" si="253"/>
        <v>68.9</v>
      </c>
      <c r="AQ127" s="14">
        <f t="shared" si="253"/>
        <v>68.9</v>
      </c>
      <c r="AR127" s="14">
        <f t="shared" si="253"/>
        <v>68.9</v>
      </c>
      <c r="AS127" s="14">
        <f t="shared" si="253"/>
        <v>68.9</v>
      </c>
      <c r="AT127" s="14">
        <f t="shared" si="253"/>
        <v>68.9</v>
      </c>
      <c r="AU127" s="14">
        <f t="shared" si="253"/>
        <v>68.9</v>
      </c>
      <c r="AV127" s="14">
        <f t="shared" si="253"/>
        <v>68.9</v>
      </c>
      <c r="AW127" s="14">
        <f t="shared" si="253"/>
        <v>68.9</v>
      </c>
      <c r="AX127" s="14">
        <f t="shared" si="253"/>
        <v>68.9</v>
      </c>
      <c r="AY127" s="14">
        <f t="shared" si="253"/>
        <v>68.9</v>
      </c>
      <c r="AZ127" s="14">
        <f t="shared" si="253"/>
        <v>68.9</v>
      </c>
      <c r="BA127" s="14">
        <f t="shared" si="253"/>
        <v>68.9</v>
      </c>
      <c r="BB127" s="14">
        <f t="shared" si="253"/>
        <v>68.9</v>
      </c>
      <c r="BC127" s="14">
        <f t="shared" si="253"/>
        <v>68.9</v>
      </c>
      <c r="BD127" s="14">
        <f t="shared" si="253"/>
        <v>68.9</v>
      </c>
      <c r="BE127" s="14">
        <f t="shared" si="253"/>
        <v>68.9</v>
      </c>
      <c r="BF127" s="14">
        <f t="shared" si="253"/>
        <v>68.9</v>
      </c>
      <c r="BG127" s="14">
        <f t="shared" si="253"/>
        <v>68.9</v>
      </c>
      <c r="BH127" s="14">
        <f t="shared" si="253"/>
        <v>68.9</v>
      </c>
      <c r="BI127" s="14">
        <f t="shared" si="253"/>
        <v>68.9</v>
      </c>
      <c r="BJ127" s="14">
        <f t="shared" si="253"/>
        <v>68.9</v>
      </c>
      <c r="BK127" s="14">
        <f t="shared" si="253"/>
        <v>68.9</v>
      </c>
      <c r="BL127" s="14">
        <f t="shared" si="253"/>
        <v>68.9</v>
      </c>
      <c r="BM127" s="14">
        <f t="shared" si="253"/>
        <v>68.9</v>
      </c>
      <c r="BN127" s="14">
        <f t="shared" si="253"/>
        <v>68.9</v>
      </c>
      <c r="BO127" s="14">
        <f t="shared" si="253"/>
        <v>68.9</v>
      </c>
      <c r="BP127" s="14">
        <f t="shared" si="253"/>
        <v>68.9</v>
      </c>
      <c r="BQ127" s="14">
        <f t="shared" si="253"/>
        <v>68.9</v>
      </c>
      <c r="BR127" s="14">
        <f aca="true" t="shared" si="254" ref="BR127:EC127">BQ128</f>
        <v>68.9</v>
      </c>
      <c r="BS127" s="14">
        <f t="shared" si="254"/>
        <v>68.9</v>
      </c>
      <c r="BT127" s="26">
        <f t="shared" si="254"/>
        <v>68.9</v>
      </c>
      <c r="BU127" s="26">
        <f t="shared" si="254"/>
        <v>68.9</v>
      </c>
      <c r="BV127" s="26">
        <f t="shared" si="254"/>
        <v>68.9</v>
      </c>
      <c r="BW127" s="14">
        <f t="shared" si="254"/>
        <v>68.9</v>
      </c>
      <c r="BX127" s="14">
        <f t="shared" si="254"/>
        <v>68.9</v>
      </c>
      <c r="BY127" s="14">
        <f t="shared" si="254"/>
        <v>68.9</v>
      </c>
      <c r="BZ127" s="14">
        <f t="shared" si="254"/>
        <v>68.9</v>
      </c>
      <c r="CA127" s="14">
        <f t="shared" si="254"/>
        <v>68.9</v>
      </c>
      <c r="CB127" s="14">
        <f t="shared" si="254"/>
        <v>68.9</v>
      </c>
      <c r="CC127" s="14">
        <f t="shared" si="254"/>
        <v>68.9</v>
      </c>
      <c r="CD127" s="14">
        <f t="shared" si="254"/>
        <v>68.9</v>
      </c>
      <c r="CE127" s="14">
        <f t="shared" si="254"/>
        <v>68.9</v>
      </c>
      <c r="CF127" s="14">
        <f t="shared" si="254"/>
        <v>68.9</v>
      </c>
      <c r="CG127" s="14">
        <f t="shared" si="254"/>
        <v>68.9</v>
      </c>
      <c r="CH127" s="14">
        <f t="shared" si="254"/>
        <v>68.9</v>
      </c>
      <c r="CI127" s="14">
        <f t="shared" si="254"/>
        <v>68.9</v>
      </c>
      <c r="CJ127" s="14">
        <f t="shared" si="254"/>
        <v>68.9</v>
      </c>
      <c r="CK127" s="14">
        <f t="shared" si="254"/>
        <v>68.9</v>
      </c>
      <c r="CL127" s="14">
        <f t="shared" si="254"/>
        <v>68.9</v>
      </c>
      <c r="CM127" s="14">
        <f t="shared" si="254"/>
        <v>68.9</v>
      </c>
      <c r="CN127" s="14">
        <f t="shared" si="254"/>
        <v>68.9</v>
      </c>
      <c r="CO127" s="14">
        <f t="shared" si="254"/>
        <v>68.9</v>
      </c>
      <c r="CP127" s="14">
        <f t="shared" si="254"/>
        <v>68.9</v>
      </c>
      <c r="CQ127" s="14">
        <f t="shared" si="254"/>
        <v>68.9</v>
      </c>
      <c r="CR127" s="14">
        <f t="shared" si="254"/>
        <v>68.9</v>
      </c>
      <c r="CS127" s="14">
        <f t="shared" si="254"/>
        <v>68.9</v>
      </c>
      <c r="CT127" s="14">
        <f t="shared" si="254"/>
        <v>68.9</v>
      </c>
      <c r="CU127" s="14">
        <f t="shared" si="254"/>
        <v>68.9</v>
      </c>
      <c r="CV127" s="14">
        <f t="shared" si="254"/>
        <v>68.9</v>
      </c>
      <c r="CW127" s="14">
        <f t="shared" si="254"/>
        <v>68.9</v>
      </c>
      <c r="CX127" s="14">
        <f t="shared" si="254"/>
        <v>68.9</v>
      </c>
      <c r="CY127" s="14">
        <f t="shared" si="254"/>
        <v>68.9</v>
      </c>
      <c r="CZ127" s="14">
        <f t="shared" si="254"/>
        <v>68.9</v>
      </c>
      <c r="DA127" s="14">
        <f t="shared" si="254"/>
        <v>68.9</v>
      </c>
      <c r="DB127" s="14">
        <f t="shared" si="254"/>
        <v>68.9</v>
      </c>
      <c r="DC127" s="14">
        <f t="shared" si="254"/>
        <v>68.9</v>
      </c>
      <c r="DD127" s="14">
        <f t="shared" si="254"/>
        <v>68.9</v>
      </c>
      <c r="DE127" s="14">
        <f t="shared" si="254"/>
        <v>68.9</v>
      </c>
      <c r="DF127" s="14">
        <f t="shared" si="254"/>
        <v>68.9</v>
      </c>
      <c r="DG127" s="14">
        <f t="shared" si="254"/>
        <v>68.9</v>
      </c>
      <c r="DH127" s="14">
        <f t="shared" si="254"/>
        <v>68.9</v>
      </c>
      <c r="DI127" s="14">
        <f t="shared" si="254"/>
        <v>68.9</v>
      </c>
      <c r="DJ127" s="14">
        <f t="shared" si="254"/>
        <v>68.9</v>
      </c>
      <c r="DK127" s="14">
        <f t="shared" si="254"/>
        <v>68.9</v>
      </c>
      <c r="DL127" s="14">
        <f t="shared" si="254"/>
        <v>68.9</v>
      </c>
      <c r="DM127" s="14">
        <f t="shared" si="254"/>
        <v>68.9</v>
      </c>
      <c r="DN127" s="14">
        <f t="shared" si="254"/>
        <v>68.9</v>
      </c>
      <c r="DO127" s="14">
        <f t="shared" si="254"/>
        <v>68.9</v>
      </c>
      <c r="DP127" s="15">
        <f t="shared" si="254"/>
        <v>68.9</v>
      </c>
      <c r="DQ127" s="15">
        <f t="shared" si="254"/>
        <v>68.9</v>
      </c>
      <c r="DR127" s="15">
        <f t="shared" si="254"/>
        <v>68.9</v>
      </c>
      <c r="DS127" s="15">
        <f t="shared" si="254"/>
        <v>68.9</v>
      </c>
      <c r="DT127" s="15">
        <f t="shared" si="254"/>
        <v>68.9</v>
      </c>
      <c r="DU127" s="14">
        <f t="shared" si="254"/>
        <v>68.9</v>
      </c>
      <c r="DV127" s="14">
        <f t="shared" si="254"/>
        <v>68.9</v>
      </c>
      <c r="DW127" s="14">
        <f t="shared" si="254"/>
        <v>68.9</v>
      </c>
      <c r="DX127" s="14">
        <f t="shared" si="254"/>
        <v>68.9</v>
      </c>
      <c r="DY127" s="14">
        <f t="shared" si="254"/>
        <v>68.9</v>
      </c>
      <c r="DZ127" s="14">
        <f t="shared" si="254"/>
        <v>68.9</v>
      </c>
      <c r="EA127" s="14">
        <f t="shared" si="254"/>
        <v>68.9</v>
      </c>
      <c r="EB127" s="14">
        <f t="shared" si="254"/>
        <v>68.9</v>
      </c>
      <c r="EC127" s="14">
        <f t="shared" si="254"/>
        <v>68.9</v>
      </c>
      <c r="ED127" s="14">
        <f aca="true" t="shared" si="255" ref="ED127:GO127">EC128</f>
        <v>68.9</v>
      </c>
      <c r="EE127" s="14">
        <f t="shared" si="255"/>
        <v>68.9</v>
      </c>
      <c r="EF127" s="14">
        <f t="shared" si="255"/>
        <v>68.9</v>
      </c>
      <c r="EG127" s="14">
        <f t="shared" si="255"/>
        <v>68.9</v>
      </c>
      <c r="EH127" s="14">
        <f t="shared" si="255"/>
        <v>68.9</v>
      </c>
      <c r="EI127" s="14">
        <f t="shared" si="255"/>
        <v>68.9</v>
      </c>
      <c r="EJ127" s="14">
        <f t="shared" si="255"/>
        <v>68.9</v>
      </c>
      <c r="EK127" s="14">
        <f t="shared" si="255"/>
        <v>68.9</v>
      </c>
      <c r="EL127" s="14">
        <f t="shared" si="255"/>
        <v>68.9</v>
      </c>
      <c r="EM127" s="14">
        <f t="shared" si="255"/>
        <v>68.9</v>
      </c>
      <c r="EN127" s="14">
        <f t="shared" si="255"/>
        <v>68.9</v>
      </c>
      <c r="EO127" s="14">
        <f t="shared" si="255"/>
        <v>68.9</v>
      </c>
      <c r="EP127" s="14">
        <f t="shared" si="255"/>
        <v>68.9</v>
      </c>
      <c r="EQ127" s="14">
        <f t="shared" si="255"/>
        <v>68.9</v>
      </c>
      <c r="ER127" s="14">
        <f>EQ128</f>
        <v>68.9</v>
      </c>
      <c r="ES127" s="14">
        <f>ER128</f>
        <v>68.9</v>
      </c>
      <c r="ET127" s="14">
        <f>ES128</f>
        <v>68.9</v>
      </c>
      <c r="EU127" s="14">
        <f t="shared" si="255"/>
        <v>68.9</v>
      </c>
      <c r="EV127" s="14">
        <f t="shared" si="255"/>
        <v>68.9</v>
      </c>
      <c r="EW127" s="14">
        <f t="shared" si="255"/>
        <v>68.9</v>
      </c>
      <c r="EX127" s="14">
        <f t="shared" si="255"/>
        <v>68.9</v>
      </c>
      <c r="EY127" s="14">
        <f t="shared" si="255"/>
        <v>68.9</v>
      </c>
      <c r="EZ127" s="14">
        <f t="shared" si="255"/>
        <v>68.9</v>
      </c>
      <c r="FA127" s="14">
        <f t="shared" si="255"/>
        <v>68.9</v>
      </c>
      <c r="FB127" s="14">
        <f t="shared" si="255"/>
        <v>68.9</v>
      </c>
      <c r="FC127" s="14">
        <f t="shared" si="255"/>
        <v>68.9</v>
      </c>
      <c r="FD127" s="14">
        <f t="shared" si="255"/>
        <v>68.9</v>
      </c>
      <c r="FE127" s="14">
        <f t="shared" si="255"/>
        <v>68.9</v>
      </c>
      <c r="FF127" s="14">
        <f t="shared" si="255"/>
        <v>68.9</v>
      </c>
      <c r="FG127" s="14">
        <f t="shared" si="255"/>
        <v>68.9</v>
      </c>
      <c r="FH127" s="14">
        <f t="shared" si="255"/>
        <v>68.9</v>
      </c>
      <c r="FI127" s="14">
        <f t="shared" si="255"/>
        <v>68.9</v>
      </c>
      <c r="FJ127" s="14">
        <f t="shared" si="255"/>
        <v>68.9</v>
      </c>
      <c r="FK127" s="14">
        <f t="shared" si="255"/>
        <v>68.9</v>
      </c>
      <c r="FL127" s="14">
        <f t="shared" si="255"/>
        <v>68.9</v>
      </c>
      <c r="FM127" s="14">
        <f t="shared" si="255"/>
        <v>68.9</v>
      </c>
      <c r="FN127" s="14">
        <f t="shared" si="255"/>
        <v>68.9</v>
      </c>
      <c r="FO127" s="14">
        <f t="shared" si="255"/>
        <v>68.9</v>
      </c>
      <c r="FP127" s="14">
        <f t="shared" si="255"/>
        <v>68.9</v>
      </c>
      <c r="FQ127" s="14">
        <f t="shared" si="255"/>
        <v>68.9</v>
      </c>
      <c r="FR127" s="14">
        <f t="shared" si="255"/>
        <v>68.9</v>
      </c>
      <c r="FS127" s="14">
        <f t="shared" si="255"/>
        <v>68.9</v>
      </c>
      <c r="FT127" s="14">
        <f t="shared" si="255"/>
        <v>68.9</v>
      </c>
      <c r="FU127" s="14">
        <f t="shared" si="255"/>
        <v>68.9</v>
      </c>
      <c r="FV127" s="14">
        <f t="shared" si="255"/>
        <v>68.9</v>
      </c>
      <c r="FW127" s="14">
        <f t="shared" si="255"/>
        <v>68.9</v>
      </c>
      <c r="FX127" s="14">
        <f t="shared" si="255"/>
        <v>68.9</v>
      </c>
      <c r="FY127" s="14">
        <f t="shared" si="255"/>
        <v>68.9</v>
      </c>
      <c r="FZ127" s="14">
        <f t="shared" si="255"/>
        <v>68.9</v>
      </c>
      <c r="GA127" s="14">
        <f t="shared" si="255"/>
        <v>68.9</v>
      </c>
      <c r="GB127" s="14">
        <f t="shared" si="255"/>
        <v>68.9</v>
      </c>
      <c r="GC127" s="14">
        <f t="shared" si="255"/>
        <v>68.9</v>
      </c>
      <c r="GD127" s="14">
        <f t="shared" si="255"/>
        <v>68.9</v>
      </c>
      <c r="GE127" s="14">
        <f t="shared" si="255"/>
        <v>68.9</v>
      </c>
      <c r="GF127" s="14">
        <f t="shared" si="255"/>
        <v>68.9</v>
      </c>
      <c r="GG127" s="14">
        <f t="shared" si="255"/>
        <v>68.9</v>
      </c>
      <c r="GH127" s="14">
        <f t="shared" si="255"/>
        <v>68.9</v>
      </c>
      <c r="GI127" s="14">
        <f t="shared" si="255"/>
        <v>68.9</v>
      </c>
      <c r="GJ127" s="14">
        <f t="shared" si="255"/>
        <v>68.9</v>
      </c>
      <c r="GK127" s="14">
        <f t="shared" si="255"/>
        <v>68.9</v>
      </c>
      <c r="GL127" s="14">
        <f t="shared" si="255"/>
        <v>68.9</v>
      </c>
      <c r="GM127" s="14">
        <f t="shared" si="255"/>
        <v>68.9</v>
      </c>
      <c r="GN127" s="14">
        <f t="shared" si="255"/>
        <v>68.9</v>
      </c>
      <c r="GO127" s="14">
        <f t="shared" si="255"/>
        <v>68.9</v>
      </c>
    </row>
    <row r="128" spans="1:197" ht="15">
      <c r="A128" s="4"/>
      <c r="B128" s="4"/>
      <c r="C128" s="12" t="s">
        <v>218</v>
      </c>
      <c r="D128" s="16">
        <f>D127-D126</f>
        <v>68.9</v>
      </c>
      <c r="E128" s="16">
        <f>E127-E126</f>
        <v>68.9</v>
      </c>
      <c r="F128" s="16">
        <f aca="true" t="shared" si="256" ref="F128:BQ128">F127-F126</f>
        <v>68.9</v>
      </c>
      <c r="G128" s="16">
        <f t="shared" si="256"/>
        <v>68.9</v>
      </c>
      <c r="H128" s="16">
        <f t="shared" si="256"/>
        <v>68.9</v>
      </c>
      <c r="I128" s="16">
        <f t="shared" si="256"/>
        <v>68.9</v>
      </c>
      <c r="J128" s="16">
        <f t="shared" si="256"/>
        <v>68.9</v>
      </c>
      <c r="K128" s="16">
        <f t="shared" si="256"/>
        <v>68.9</v>
      </c>
      <c r="L128" s="16">
        <f t="shared" si="256"/>
        <v>68.9</v>
      </c>
      <c r="M128" s="16">
        <f t="shared" si="256"/>
        <v>68.9</v>
      </c>
      <c r="N128" s="16">
        <f t="shared" si="256"/>
        <v>68.9</v>
      </c>
      <c r="O128" s="16">
        <f t="shared" si="256"/>
        <v>68.9</v>
      </c>
      <c r="P128" s="16">
        <f t="shared" si="256"/>
        <v>68.9</v>
      </c>
      <c r="Q128" s="16">
        <f t="shared" si="256"/>
        <v>68.9</v>
      </c>
      <c r="R128" s="16">
        <f t="shared" si="256"/>
        <v>68.9</v>
      </c>
      <c r="S128" s="16">
        <f t="shared" si="256"/>
        <v>68.9</v>
      </c>
      <c r="T128" s="16">
        <f t="shared" si="256"/>
        <v>68.9</v>
      </c>
      <c r="U128" s="16">
        <f t="shared" si="256"/>
        <v>68.9</v>
      </c>
      <c r="V128" s="16">
        <f t="shared" si="256"/>
        <v>68.9</v>
      </c>
      <c r="W128" s="16">
        <f t="shared" si="256"/>
        <v>68.9</v>
      </c>
      <c r="X128" s="16">
        <f t="shared" si="256"/>
        <v>68.9</v>
      </c>
      <c r="Y128" s="16">
        <f t="shared" si="256"/>
        <v>68.9</v>
      </c>
      <c r="Z128" s="16">
        <f t="shared" si="256"/>
        <v>68.9</v>
      </c>
      <c r="AA128" s="16">
        <f t="shared" si="256"/>
        <v>68.9</v>
      </c>
      <c r="AB128" s="16">
        <f t="shared" si="256"/>
        <v>68.9</v>
      </c>
      <c r="AC128" s="16">
        <f t="shared" si="256"/>
        <v>68.9</v>
      </c>
      <c r="AD128" s="16">
        <f t="shared" si="256"/>
        <v>68.9</v>
      </c>
      <c r="AE128" s="16">
        <f t="shared" si="256"/>
        <v>68.9</v>
      </c>
      <c r="AF128" s="16">
        <f t="shared" si="256"/>
        <v>68.9</v>
      </c>
      <c r="AG128" s="16">
        <f t="shared" si="256"/>
        <v>68.9</v>
      </c>
      <c r="AH128" s="16">
        <f t="shared" si="256"/>
        <v>68.9</v>
      </c>
      <c r="AI128" s="16">
        <f t="shared" si="256"/>
        <v>68.9</v>
      </c>
      <c r="AJ128" s="16">
        <f t="shared" si="256"/>
        <v>68.9</v>
      </c>
      <c r="AK128" s="16">
        <f t="shared" si="256"/>
        <v>68.9</v>
      </c>
      <c r="AL128" s="16">
        <f t="shared" si="256"/>
        <v>68.9</v>
      </c>
      <c r="AM128" s="16">
        <f t="shared" si="256"/>
        <v>68.9</v>
      </c>
      <c r="AN128" s="16">
        <f t="shared" si="256"/>
        <v>68.9</v>
      </c>
      <c r="AO128" s="16">
        <f t="shared" si="256"/>
        <v>68.9</v>
      </c>
      <c r="AP128" s="16">
        <f t="shared" si="256"/>
        <v>68.9</v>
      </c>
      <c r="AQ128" s="16">
        <f t="shared" si="256"/>
        <v>68.9</v>
      </c>
      <c r="AR128" s="16">
        <f t="shared" si="256"/>
        <v>68.9</v>
      </c>
      <c r="AS128" s="16">
        <f t="shared" si="256"/>
        <v>68.9</v>
      </c>
      <c r="AT128" s="16">
        <f t="shared" si="256"/>
        <v>68.9</v>
      </c>
      <c r="AU128" s="16">
        <f t="shared" si="256"/>
        <v>68.9</v>
      </c>
      <c r="AV128" s="16">
        <f t="shared" si="256"/>
        <v>68.9</v>
      </c>
      <c r="AW128" s="16">
        <f t="shared" si="256"/>
        <v>68.9</v>
      </c>
      <c r="AX128" s="16">
        <f t="shared" si="256"/>
        <v>68.9</v>
      </c>
      <c r="AY128" s="16">
        <f t="shared" si="256"/>
        <v>68.9</v>
      </c>
      <c r="AZ128" s="16">
        <f t="shared" si="256"/>
        <v>68.9</v>
      </c>
      <c r="BA128" s="16">
        <f t="shared" si="256"/>
        <v>68.9</v>
      </c>
      <c r="BB128" s="16">
        <f t="shared" si="256"/>
        <v>68.9</v>
      </c>
      <c r="BC128" s="16">
        <f t="shared" si="256"/>
        <v>68.9</v>
      </c>
      <c r="BD128" s="16">
        <f t="shared" si="256"/>
        <v>68.9</v>
      </c>
      <c r="BE128" s="16">
        <f t="shared" si="256"/>
        <v>68.9</v>
      </c>
      <c r="BF128" s="16">
        <f t="shared" si="256"/>
        <v>68.9</v>
      </c>
      <c r="BG128" s="16">
        <f t="shared" si="256"/>
        <v>68.9</v>
      </c>
      <c r="BH128" s="16">
        <f t="shared" si="256"/>
        <v>68.9</v>
      </c>
      <c r="BI128" s="16">
        <f t="shared" si="256"/>
        <v>68.9</v>
      </c>
      <c r="BJ128" s="16">
        <f t="shared" si="256"/>
        <v>68.9</v>
      </c>
      <c r="BK128" s="16">
        <f t="shared" si="256"/>
        <v>68.9</v>
      </c>
      <c r="BL128" s="16">
        <f t="shared" si="256"/>
        <v>68.9</v>
      </c>
      <c r="BM128" s="16">
        <f t="shared" si="256"/>
        <v>68.9</v>
      </c>
      <c r="BN128" s="16">
        <f t="shared" si="256"/>
        <v>68.9</v>
      </c>
      <c r="BO128" s="16">
        <f t="shared" si="256"/>
        <v>68.9</v>
      </c>
      <c r="BP128" s="16">
        <f t="shared" si="256"/>
        <v>68.9</v>
      </c>
      <c r="BQ128" s="16">
        <f t="shared" si="256"/>
        <v>68.9</v>
      </c>
      <c r="BR128" s="16">
        <f aca="true" t="shared" si="257" ref="BR128:EC128">BR127-BR126</f>
        <v>68.9</v>
      </c>
      <c r="BS128" s="16">
        <f t="shared" si="257"/>
        <v>68.9</v>
      </c>
      <c r="BT128" s="27">
        <f t="shared" si="257"/>
        <v>68.9</v>
      </c>
      <c r="BU128" s="27">
        <f t="shared" si="257"/>
        <v>68.9</v>
      </c>
      <c r="BV128" s="27">
        <f t="shared" si="257"/>
        <v>68.9</v>
      </c>
      <c r="BW128" s="16">
        <f t="shared" si="257"/>
        <v>68.9</v>
      </c>
      <c r="BX128" s="16">
        <f t="shared" si="257"/>
        <v>68.9</v>
      </c>
      <c r="BY128" s="16">
        <f t="shared" si="257"/>
        <v>68.9</v>
      </c>
      <c r="BZ128" s="16">
        <f t="shared" si="257"/>
        <v>68.9</v>
      </c>
      <c r="CA128" s="16">
        <f t="shared" si="257"/>
        <v>68.9</v>
      </c>
      <c r="CB128" s="16">
        <f t="shared" si="257"/>
        <v>68.9</v>
      </c>
      <c r="CC128" s="16">
        <f t="shared" si="257"/>
        <v>68.9</v>
      </c>
      <c r="CD128" s="16">
        <f t="shared" si="257"/>
        <v>68.9</v>
      </c>
      <c r="CE128" s="16">
        <f t="shared" si="257"/>
        <v>68.9</v>
      </c>
      <c r="CF128" s="16">
        <f t="shared" si="257"/>
        <v>68.9</v>
      </c>
      <c r="CG128" s="16">
        <f t="shared" si="257"/>
        <v>68.9</v>
      </c>
      <c r="CH128" s="16">
        <f t="shared" si="257"/>
        <v>68.9</v>
      </c>
      <c r="CI128" s="16">
        <f t="shared" si="257"/>
        <v>68.9</v>
      </c>
      <c r="CJ128" s="16">
        <f t="shared" si="257"/>
        <v>68.9</v>
      </c>
      <c r="CK128" s="16">
        <f t="shared" si="257"/>
        <v>68.9</v>
      </c>
      <c r="CL128" s="16">
        <f t="shared" si="257"/>
        <v>68.9</v>
      </c>
      <c r="CM128" s="16">
        <f t="shared" si="257"/>
        <v>68.9</v>
      </c>
      <c r="CN128" s="16">
        <f t="shared" si="257"/>
        <v>68.9</v>
      </c>
      <c r="CO128" s="16">
        <f t="shared" si="257"/>
        <v>68.9</v>
      </c>
      <c r="CP128" s="16">
        <f t="shared" si="257"/>
        <v>68.9</v>
      </c>
      <c r="CQ128" s="16">
        <f t="shared" si="257"/>
        <v>68.9</v>
      </c>
      <c r="CR128" s="16">
        <f t="shared" si="257"/>
        <v>68.9</v>
      </c>
      <c r="CS128" s="16">
        <f t="shared" si="257"/>
        <v>68.9</v>
      </c>
      <c r="CT128" s="16">
        <f t="shared" si="257"/>
        <v>68.9</v>
      </c>
      <c r="CU128" s="16">
        <f t="shared" si="257"/>
        <v>68.9</v>
      </c>
      <c r="CV128" s="16">
        <f t="shared" si="257"/>
        <v>68.9</v>
      </c>
      <c r="CW128" s="16">
        <f t="shared" si="257"/>
        <v>68.9</v>
      </c>
      <c r="CX128" s="16">
        <f t="shared" si="257"/>
        <v>68.9</v>
      </c>
      <c r="CY128" s="16">
        <f t="shared" si="257"/>
        <v>68.9</v>
      </c>
      <c r="CZ128" s="16">
        <f t="shared" si="257"/>
        <v>68.9</v>
      </c>
      <c r="DA128" s="16">
        <f t="shared" si="257"/>
        <v>68.9</v>
      </c>
      <c r="DB128" s="16">
        <f t="shared" si="257"/>
        <v>68.9</v>
      </c>
      <c r="DC128" s="16">
        <f t="shared" si="257"/>
        <v>68.9</v>
      </c>
      <c r="DD128" s="16">
        <f t="shared" si="257"/>
        <v>68.9</v>
      </c>
      <c r="DE128" s="16">
        <f t="shared" si="257"/>
        <v>68.9</v>
      </c>
      <c r="DF128" s="16">
        <f t="shared" si="257"/>
        <v>68.9</v>
      </c>
      <c r="DG128" s="16">
        <f t="shared" si="257"/>
        <v>68.9</v>
      </c>
      <c r="DH128" s="16">
        <f t="shared" si="257"/>
        <v>68.9</v>
      </c>
      <c r="DI128" s="16">
        <f t="shared" si="257"/>
        <v>68.9</v>
      </c>
      <c r="DJ128" s="16">
        <f t="shared" si="257"/>
        <v>68.9</v>
      </c>
      <c r="DK128" s="16">
        <f t="shared" si="257"/>
        <v>68.9</v>
      </c>
      <c r="DL128" s="16">
        <f t="shared" si="257"/>
        <v>68.9</v>
      </c>
      <c r="DM128" s="16">
        <f t="shared" si="257"/>
        <v>68.9</v>
      </c>
      <c r="DN128" s="16">
        <f t="shared" si="257"/>
        <v>68.9</v>
      </c>
      <c r="DO128" s="16">
        <f t="shared" si="257"/>
        <v>68.9</v>
      </c>
      <c r="DP128" s="17">
        <f t="shared" si="257"/>
        <v>68.9</v>
      </c>
      <c r="DQ128" s="17">
        <f t="shared" si="257"/>
        <v>68.9</v>
      </c>
      <c r="DR128" s="17">
        <f t="shared" si="257"/>
        <v>68.9</v>
      </c>
      <c r="DS128" s="17">
        <f t="shared" si="257"/>
        <v>68.9</v>
      </c>
      <c r="DT128" s="17">
        <f t="shared" si="257"/>
        <v>68.9</v>
      </c>
      <c r="DU128" s="16">
        <f t="shared" si="257"/>
        <v>68.9</v>
      </c>
      <c r="DV128" s="16">
        <f t="shared" si="257"/>
        <v>68.9</v>
      </c>
      <c r="DW128" s="16">
        <f t="shared" si="257"/>
        <v>68.9</v>
      </c>
      <c r="DX128" s="16">
        <f t="shared" si="257"/>
        <v>68.9</v>
      </c>
      <c r="DY128" s="16">
        <f t="shared" si="257"/>
        <v>68.9</v>
      </c>
      <c r="DZ128" s="16">
        <f t="shared" si="257"/>
        <v>68.9</v>
      </c>
      <c r="EA128" s="16">
        <f t="shared" si="257"/>
        <v>68.9</v>
      </c>
      <c r="EB128" s="16">
        <f t="shared" si="257"/>
        <v>68.9</v>
      </c>
      <c r="EC128" s="16">
        <f t="shared" si="257"/>
        <v>68.9</v>
      </c>
      <c r="ED128" s="16">
        <f aca="true" t="shared" si="258" ref="ED128:GO128">ED127-ED126</f>
        <v>68.9</v>
      </c>
      <c r="EE128" s="16">
        <f t="shared" si="258"/>
        <v>68.9</v>
      </c>
      <c r="EF128" s="16">
        <f t="shared" si="258"/>
        <v>68.9</v>
      </c>
      <c r="EG128" s="16">
        <f t="shared" si="258"/>
        <v>68.9</v>
      </c>
      <c r="EH128" s="16">
        <f t="shared" si="258"/>
        <v>68.9</v>
      </c>
      <c r="EI128" s="16">
        <f t="shared" si="258"/>
        <v>68.9</v>
      </c>
      <c r="EJ128" s="16">
        <f t="shared" si="258"/>
        <v>68.9</v>
      </c>
      <c r="EK128" s="16">
        <f t="shared" si="258"/>
        <v>68.9</v>
      </c>
      <c r="EL128" s="16">
        <f t="shared" si="258"/>
        <v>68.9</v>
      </c>
      <c r="EM128" s="16">
        <f t="shared" si="258"/>
        <v>68.9</v>
      </c>
      <c r="EN128" s="16">
        <f t="shared" si="258"/>
        <v>68.9</v>
      </c>
      <c r="EO128" s="16">
        <f t="shared" si="258"/>
        <v>68.9</v>
      </c>
      <c r="EP128" s="16">
        <f t="shared" si="258"/>
        <v>68.9</v>
      </c>
      <c r="EQ128" s="16">
        <f t="shared" si="258"/>
        <v>68.9</v>
      </c>
      <c r="ER128" s="16">
        <f t="shared" si="258"/>
        <v>68.9</v>
      </c>
      <c r="ES128" s="16">
        <f t="shared" si="258"/>
        <v>68.9</v>
      </c>
      <c r="ET128" s="16">
        <f t="shared" si="258"/>
        <v>68.9</v>
      </c>
      <c r="EU128" s="16">
        <f t="shared" si="258"/>
        <v>68.9</v>
      </c>
      <c r="EV128" s="16">
        <f t="shared" si="258"/>
        <v>68.9</v>
      </c>
      <c r="EW128" s="16">
        <f t="shared" si="258"/>
        <v>68.9</v>
      </c>
      <c r="EX128" s="16">
        <f t="shared" si="258"/>
        <v>68.9</v>
      </c>
      <c r="EY128" s="16">
        <f t="shared" si="258"/>
        <v>68.9</v>
      </c>
      <c r="EZ128" s="16">
        <f t="shared" si="258"/>
        <v>68.9</v>
      </c>
      <c r="FA128" s="16">
        <f t="shared" si="258"/>
        <v>68.9</v>
      </c>
      <c r="FB128" s="16">
        <f t="shared" si="258"/>
        <v>68.9</v>
      </c>
      <c r="FC128" s="16">
        <f t="shared" si="258"/>
        <v>68.9</v>
      </c>
      <c r="FD128" s="16">
        <f t="shared" si="258"/>
        <v>68.9</v>
      </c>
      <c r="FE128" s="16">
        <f t="shared" si="258"/>
        <v>68.9</v>
      </c>
      <c r="FF128" s="16">
        <f t="shared" si="258"/>
        <v>68.9</v>
      </c>
      <c r="FG128" s="16">
        <f t="shared" si="258"/>
        <v>68.9</v>
      </c>
      <c r="FH128" s="16">
        <f t="shared" si="258"/>
        <v>68.9</v>
      </c>
      <c r="FI128" s="16">
        <f t="shared" si="258"/>
        <v>68.9</v>
      </c>
      <c r="FJ128" s="16">
        <f t="shared" si="258"/>
        <v>68.9</v>
      </c>
      <c r="FK128" s="16">
        <f t="shared" si="258"/>
        <v>68.9</v>
      </c>
      <c r="FL128" s="16">
        <f t="shared" si="258"/>
        <v>68.9</v>
      </c>
      <c r="FM128" s="16">
        <f t="shared" si="258"/>
        <v>68.9</v>
      </c>
      <c r="FN128" s="16">
        <f t="shared" si="258"/>
        <v>68.9</v>
      </c>
      <c r="FO128" s="16">
        <f t="shared" si="258"/>
        <v>68.9</v>
      </c>
      <c r="FP128" s="16">
        <f t="shared" si="258"/>
        <v>68.9</v>
      </c>
      <c r="FQ128" s="16">
        <f t="shared" si="258"/>
        <v>68.9</v>
      </c>
      <c r="FR128" s="16">
        <f t="shared" si="258"/>
        <v>68.9</v>
      </c>
      <c r="FS128" s="16">
        <f t="shared" si="258"/>
        <v>68.9</v>
      </c>
      <c r="FT128" s="16">
        <f t="shared" si="258"/>
        <v>68.9</v>
      </c>
      <c r="FU128" s="16">
        <f t="shared" si="258"/>
        <v>68.9</v>
      </c>
      <c r="FV128" s="16">
        <f t="shared" si="258"/>
        <v>68.9</v>
      </c>
      <c r="FW128" s="16">
        <f t="shared" si="258"/>
        <v>68.9</v>
      </c>
      <c r="FX128" s="16">
        <f t="shared" si="258"/>
        <v>68.9</v>
      </c>
      <c r="FY128" s="16">
        <f t="shared" si="258"/>
        <v>68.9</v>
      </c>
      <c r="FZ128" s="16">
        <f t="shared" si="258"/>
        <v>68.9</v>
      </c>
      <c r="GA128" s="16">
        <f t="shared" si="258"/>
        <v>68.9</v>
      </c>
      <c r="GB128" s="16">
        <f t="shared" si="258"/>
        <v>68.9</v>
      </c>
      <c r="GC128" s="16">
        <f t="shared" si="258"/>
        <v>68.9</v>
      </c>
      <c r="GD128" s="16">
        <f t="shared" si="258"/>
        <v>68.9</v>
      </c>
      <c r="GE128" s="16">
        <f t="shared" si="258"/>
        <v>68.9</v>
      </c>
      <c r="GF128" s="16">
        <f t="shared" si="258"/>
        <v>68.9</v>
      </c>
      <c r="GG128" s="16">
        <f t="shared" si="258"/>
        <v>68.9</v>
      </c>
      <c r="GH128" s="16">
        <f t="shared" si="258"/>
        <v>68.9</v>
      </c>
      <c r="GI128" s="16">
        <f t="shared" si="258"/>
        <v>68.9</v>
      </c>
      <c r="GJ128" s="16">
        <f t="shared" si="258"/>
        <v>68.9</v>
      </c>
      <c r="GK128" s="16">
        <f t="shared" si="258"/>
        <v>68.9</v>
      </c>
      <c r="GL128" s="16">
        <f t="shared" si="258"/>
        <v>68.9</v>
      </c>
      <c r="GM128" s="16">
        <f t="shared" si="258"/>
        <v>68.9</v>
      </c>
      <c r="GN128" s="16">
        <f t="shared" si="258"/>
        <v>68.9</v>
      </c>
      <c r="GO128" s="16">
        <f t="shared" si="258"/>
        <v>68.9</v>
      </c>
    </row>
    <row r="129" spans="1:256" s="68" customFormat="1" ht="15">
      <c r="A129" s="4"/>
      <c r="B129" s="4"/>
      <c r="C129" s="4"/>
      <c r="BT129" s="69"/>
      <c r="BU129" s="69"/>
      <c r="BV129" s="69"/>
      <c r="DP129" s="70"/>
      <c r="DQ129" s="70"/>
      <c r="DR129" s="70"/>
      <c r="DS129" s="70"/>
      <c r="DT129" s="70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197" ht="26.25" customHeight="1">
      <c r="A130" s="47"/>
      <c r="B130" s="47"/>
      <c r="C130" s="71"/>
      <c r="D130" s="72">
        <f>D7+D10+D13+D16+D19+D22+D25+D28+D31+D34+D37+D40+D43+D46+D49+D52+D55+D58+D61+D64+D67+D70+D73+D76+D79+D82+D85+D88+D91+D94+D97+D100+D103+D106+D109+D112+D115+D118+D121+D124+D127</f>
        <v>3237.0000000000005</v>
      </c>
      <c r="E130" s="72">
        <f>E7+E10+E13+E16+E19+E22+E25+E28+E31+E34+E37+E40+E43+E46+E49+E52+E55+E58+E61+E64+E67+E70+E73+E76+E79+E82+E85+E88+E91+E94+E97+E100+E103+E106+E109+E112+E115+E118+E121+E124+E127</f>
        <v>2963.1000000000004</v>
      </c>
      <c r="F130" s="72">
        <f aca="true" t="shared" si="259" ref="F130:AH130">F7+F10+F13+F16+F19+F22+F25+F28+F31+F34+F37+F40+F43+F46+F49+F52+F55+F58+F61+F64+F67+F70+F73+F76+F79+F82+F85+F88+F91+F94+F97+F100+F103+F106+F109+F112+F115+F118+F121+F124+F127</f>
        <v>3199.3000000000006</v>
      </c>
      <c r="G130" s="72">
        <f t="shared" si="259"/>
        <v>3058.099999999999</v>
      </c>
      <c r="H130" s="72">
        <f t="shared" si="259"/>
        <v>2970.999999999999</v>
      </c>
      <c r="I130" s="72">
        <f t="shared" si="259"/>
        <v>3079.2</v>
      </c>
      <c r="J130" s="72">
        <f t="shared" si="259"/>
        <v>3340.5999999999995</v>
      </c>
      <c r="K130" s="72">
        <f t="shared" si="259"/>
        <v>3300.4999999999995</v>
      </c>
      <c r="L130" s="72">
        <f t="shared" si="259"/>
        <v>3627.4999999999995</v>
      </c>
      <c r="M130" s="72">
        <f t="shared" si="259"/>
        <v>3918.7000000000003</v>
      </c>
      <c r="N130" s="72">
        <f t="shared" si="259"/>
        <v>4321.2</v>
      </c>
      <c r="O130" s="72">
        <f t="shared" si="259"/>
        <v>4435.099999999999</v>
      </c>
      <c r="P130" s="72">
        <f t="shared" si="259"/>
        <v>2282.1000000000004</v>
      </c>
      <c r="Q130" s="72">
        <f t="shared" si="259"/>
        <v>2070.1</v>
      </c>
      <c r="R130" s="72">
        <f t="shared" si="259"/>
        <v>2589.9000000000005</v>
      </c>
      <c r="S130" s="72">
        <f t="shared" si="259"/>
        <v>1941.3</v>
      </c>
      <c r="T130" s="72">
        <f t="shared" si="259"/>
        <v>2060.2</v>
      </c>
      <c r="U130" s="72">
        <f t="shared" si="259"/>
        <v>1875.8000000000002</v>
      </c>
      <c r="V130" s="72">
        <f t="shared" si="259"/>
        <v>2002.1000000000004</v>
      </c>
      <c r="W130" s="72">
        <f t="shared" si="259"/>
        <v>2002.1000000000004</v>
      </c>
      <c r="X130" s="72">
        <f t="shared" si="259"/>
        <v>2243.4</v>
      </c>
      <c r="Y130" s="72">
        <f t="shared" si="259"/>
        <v>1671.6000000000004</v>
      </c>
      <c r="Z130" s="72">
        <f t="shared" si="259"/>
        <v>1901.3000000000002</v>
      </c>
      <c r="AA130" s="72">
        <f t="shared" si="259"/>
        <v>2049.5</v>
      </c>
      <c r="AB130" s="72">
        <f t="shared" si="259"/>
        <v>2220.4</v>
      </c>
      <c r="AC130" s="72">
        <f t="shared" si="259"/>
        <v>1978.7</v>
      </c>
      <c r="AD130" s="72">
        <f t="shared" si="259"/>
        <v>2290.0000000000005</v>
      </c>
      <c r="AE130" s="72">
        <f t="shared" si="259"/>
        <v>1991.9000000000003</v>
      </c>
      <c r="AF130" s="72">
        <f t="shared" si="259"/>
        <v>2048.3000000000006</v>
      </c>
      <c r="AG130" s="72">
        <f t="shared" si="259"/>
        <v>1714.1000000000006</v>
      </c>
      <c r="AH130" s="72">
        <f t="shared" si="259"/>
        <v>1685.0000000000007</v>
      </c>
      <c r="AI130" s="72">
        <f>AI7+AI10+AI13+AI16+AI19+AI22+AI25+AI28+AI31+AI34+AI37+AI40+AI43+AI46+AI49+AI52+AI55+AI58+AI61+AI64+AI67+AI70+AI73+AI76+AI79+AI82+AI85+AI88+AI91+AI94+AI97+AI100+AI103+AI106+AI109+AI112+AI115+AI118+AI121+AI124+AI127</f>
        <v>1381.9000000000003</v>
      </c>
      <c r="AJ130" s="72">
        <f aca="true" t="shared" si="260" ref="AJ130:CU130">AJ7+AJ10+AJ13+AJ16+AJ19+AJ22+AJ25+AJ28+AJ31+AJ34+AJ37+AJ40+AJ43+AJ46+AJ49+AJ52+AJ55+AJ58+AJ61+AJ64+AJ67+AJ70+AJ73+AJ76+AJ79+AJ82+AJ85+AJ88+AJ91+AJ94+AJ97+AJ100+AJ103+AJ106+AJ109+AJ112+AJ115+AJ118+AJ121+AJ124+AJ127</f>
        <v>1814.3000000000009</v>
      </c>
      <c r="AK130" s="72">
        <f t="shared" si="260"/>
        <v>2285.8000000000006</v>
      </c>
      <c r="AL130" s="72">
        <f t="shared" si="260"/>
        <v>2536.7000000000007</v>
      </c>
      <c r="AM130" s="72">
        <f t="shared" si="260"/>
        <v>2574.7000000000003</v>
      </c>
      <c r="AN130" s="72">
        <f t="shared" si="260"/>
        <v>3322.2000000000007</v>
      </c>
      <c r="AO130" s="72">
        <f t="shared" si="260"/>
        <v>3276.300000000001</v>
      </c>
      <c r="AP130" s="72">
        <f t="shared" si="260"/>
        <v>3810.000000000001</v>
      </c>
      <c r="AQ130" s="72">
        <f t="shared" si="260"/>
        <v>1982.5000000000005</v>
      </c>
      <c r="AR130" s="72">
        <f t="shared" si="260"/>
        <v>1923.6000000000004</v>
      </c>
      <c r="AS130" s="72">
        <f t="shared" si="260"/>
        <v>1680.9</v>
      </c>
      <c r="AT130" s="72">
        <f t="shared" si="260"/>
        <v>1695.2000000000003</v>
      </c>
      <c r="AU130" s="72">
        <f t="shared" si="260"/>
        <v>1492.7</v>
      </c>
      <c r="AV130" s="72">
        <f t="shared" si="260"/>
        <v>1902.4000000000003</v>
      </c>
      <c r="AW130" s="72">
        <f t="shared" si="260"/>
        <v>2022.3000000000002</v>
      </c>
      <c r="AX130" s="72">
        <f t="shared" si="260"/>
        <v>1991.3000000000002</v>
      </c>
      <c r="AY130" s="72">
        <f t="shared" si="260"/>
        <v>1911.9</v>
      </c>
      <c r="AZ130" s="72">
        <f t="shared" si="260"/>
        <v>1821.9000000000003</v>
      </c>
      <c r="BA130" s="72">
        <f t="shared" si="260"/>
        <v>1495.1000000000004</v>
      </c>
      <c r="BB130" s="72">
        <f t="shared" si="260"/>
        <v>1906.8000000000004</v>
      </c>
      <c r="BC130" s="72">
        <f t="shared" si="260"/>
        <v>2100.8</v>
      </c>
      <c r="BD130" s="72">
        <f t="shared" si="260"/>
        <v>1994.3000000000002</v>
      </c>
      <c r="BE130" s="72">
        <f t="shared" si="260"/>
        <v>1723.5000000000002</v>
      </c>
      <c r="BF130" s="72">
        <f t="shared" si="260"/>
        <v>1644.9</v>
      </c>
      <c r="BG130" s="72">
        <f t="shared" si="260"/>
        <v>1382.9000000000003</v>
      </c>
      <c r="BH130" s="72">
        <f t="shared" si="260"/>
        <v>1487.8000000000002</v>
      </c>
      <c r="BI130" s="72">
        <f t="shared" si="260"/>
        <v>1424.6000000000004</v>
      </c>
      <c r="BJ130" s="72">
        <f t="shared" si="260"/>
        <v>1981.3000000000002</v>
      </c>
      <c r="BK130" s="72">
        <f t="shared" si="260"/>
        <v>2278.000000000001</v>
      </c>
      <c r="BL130" s="72">
        <f t="shared" si="260"/>
        <v>2365.100000000001</v>
      </c>
      <c r="BM130" s="72">
        <f t="shared" si="260"/>
        <v>2387.0000000000005</v>
      </c>
      <c r="BN130" s="72">
        <f t="shared" si="260"/>
        <v>3134.6000000000013</v>
      </c>
      <c r="BO130" s="72">
        <f>BO7+BO10+BO13+BO16+BO19+BO22+BO25+BO28+BO31+BO34+BO37+BO40+BO43+BO46+BO49+BO52+BO55+BO58+BO61+BO64+BO67+BO70+BO73+BO76+BO79+BO82+BO85+BO88+BO91+BO94+BO97+BO100+BO103+BO106+BO109+BO112+BO115+BO118+BO121+BO124+BO127</f>
        <v>3646.4000000000015</v>
      </c>
      <c r="BP130" s="72">
        <f t="shared" si="260"/>
        <v>4020.300000000001</v>
      </c>
      <c r="BQ130" s="72">
        <f t="shared" si="260"/>
        <v>1820.1999999999998</v>
      </c>
      <c r="BR130" s="72">
        <f t="shared" si="260"/>
        <v>1975.3999999999999</v>
      </c>
      <c r="BS130" s="72">
        <f t="shared" si="260"/>
        <v>2122.4999999999995</v>
      </c>
      <c r="BT130" s="73">
        <f t="shared" si="260"/>
        <v>1927.2999999999995</v>
      </c>
      <c r="BU130" s="73">
        <f t="shared" si="260"/>
        <v>2101.9999999999995</v>
      </c>
      <c r="BV130" s="73">
        <f t="shared" si="260"/>
        <v>2434.7000000000003</v>
      </c>
      <c r="BW130" s="72">
        <f t="shared" si="260"/>
        <v>2472</v>
      </c>
      <c r="BX130" s="72">
        <f t="shared" si="260"/>
        <v>1959.8</v>
      </c>
      <c r="BY130" s="72">
        <f t="shared" si="260"/>
        <v>1757.8999999999999</v>
      </c>
      <c r="BZ130" s="72">
        <f t="shared" si="260"/>
        <v>2243.100000000001</v>
      </c>
      <c r="CA130" s="72">
        <f t="shared" si="260"/>
        <v>2263.2200000000007</v>
      </c>
      <c r="CB130" s="72">
        <f t="shared" si="260"/>
        <v>2204.1200000000003</v>
      </c>
      <c r="CC130" s="72">
        <f t="shared" si="260"/>
        <v>2059.82</v>
      </c>
      <c r="CD130" s="72">
        <f t="shared" si="260"/>
        <v>1921.5200000000002</v>
      </c>
      <c r="CE130" s="72">
        <f t="shared" si="260"/>
        <v>1704.8200000000004</v>
      </c>
      <c r="CF130" s="72">
        <f t="shared" si="260"/>
        <v>1935.0200000000002</v>
      </c>
      <c r="CG130" s="72">
        <f t="shared" si="260"/>
        <v>1478.5200000000002</v>
      </c>
      <c r="CH130" s="72">
        <f t="shared" si="260"/>
        <v>1981.72</v>
      </c>
      <c r="CI130" s="72">
        <f t="shared" si="260"/>
        <v>2043.02</v>
      </c>
      <c r="CJ130" s="72">
        <f t="shared" si="260"/>
        <v>2543.4199999999996</v>
      </c>
      <c r="CK130" s="72">
        <f t="shared" si="260"/>
        <v>2173.82</v>
      </c>
      <c r="CL130" s="72">
        <f t="shared" si="260"/>
        <v>2318.8199999999997</v>
      </c>
      <c r="CM130" s="72">
        <f t="shared" si="260"/>
        <v>2375.6199999999994</v>
      </c>
      <c r="CN130" s="72">
        <f t="shared" si="260"/>
        <v>2426.62</v>
      </c>
      <c r="CO130" s="72">
        <f t="shared" si="260"/>
        <v>2939.8199999999997</v>
      </c>
      <c r="CP130" s="72">
        <f t="shared" si="260"/>
        <v>3886.3699999999994</v>
      </c>
      <c r="CQ130" s="72">
        <f t="shared" si="260"/>
        <v>1828.5200000000002</v>
      </c>
      <c r="CR130" s="72">
        <f t="shared" si="260"/>
        <v>1950.4200000000003</v>
      </c>
      <c r="CS130" s="72">
        <f t="shared" si="260"/>
        <v>2100.52</v>
      </c>
      <c r="CT130" s="72">
        <f t="shared" si="260"/>
        <v>1829.2199999999998</v>
      </c>
      <c r="CU130" s="72">
        <f t="shared" si="260"/>
        <v>1894.92</v>
      </c>
      <c r="CV130" s="72">
        <f aca="true" t="shared" si="261" ref="CV130:FH130">CV7+CV10+CV13+CV16+CV19+CV22+CV25+CV28+CV31+CV34+CV37+CV40+CV43+CV46+CV49+CV52+CV55+CV58+CV61+CV64+CV67+CV70+CV73+CV76+CV79+CV82+CV85+CV88+CV91+CV94+CV97+CV100+CV103+CV106+CV109+CV112+CV115+CV118+CV121+CV124+CV127</f>
        <v>2102.5199999999995</v>
      </c>
      <c r="CW130" s="72">
        <f t="shared" si="261"/>
        <v>1864.92</v>
      </c>
      <c r="CX130" s="72">
        <f t="shared" si="261"/>
        <v>2337.7200000000003</v>
      </c>
      <c r="CY130" s="72">
        <f t="shared" si="261"/>
        <v>2316.7200000000003</v>
      </c>
      <c r="CZ130" s="72">
        <f t="shared" si="261"/>
        <v>2702.9200000000005</v>
      </c>
      <c r="DA130" s="72">
        <f t="shared" si="261"/>
        <v>2413.42</v>
      </c>
      <c r="DB130" s="72">
        <f t="shared" si="261"/>
        <v>2177.42</v>
      </c>
      <c r="DC130" s="72">
        <f t="shared" si="261"/>
        <v>1853.0200000000002</v>
      </c>
      <c r="DD130" s="72">
        <f t="shared" si="261"/>
        <v>1971.52</v>
      </c>
      <c r="DE130" s="72">
        <f t="shared" si="261"/>
        <v>1826.12</v>
      </c>
      <c r="DF130" s="72">
        <f t="shared" si="261"/>
        <v>1980.9199999999998</v>
      </c>
      <c r="DG130" s="72">
        <f t="shared" si="261"/>
        <v>1713.42</v>
      </c>
      <c r="DH130" s="72">
        <f t="shared" si="261"/>
        <v>2066.12</v>
      </c>
      <c r="DI130" s="72">
        <f t="shared" si="261"/>
        <v>1797.02</v>
      </c>
      <c r="DJ130" s="72">
        <f t="shared" si="261"/>
        <v>1964.4399999999998</v>
      </c>
      <c r="DK130" s="72">
        <f t="shared" si="261"/>
        <v>2637.8399999999997</v>
      </c>
      <c r="DL130" s="72">
        <f t="shared" si="261"/>
        <v>2700.2400000000002</v>
      </c>
      <c r="DM130" s="72">
        <f t="shared" si="261"/>
        <v>3077.7400000000002</v>
      </c>
      <c r="DN130" s="72">
        <f t="shared" si="261"/>
        <v>3302.5400000000004</v>
      </c>
      <c r="DO130" s="72">
        <f t="shared" si="261"/>
        <v>3286.6400000000003</v>
      </c>
      <c r="DP130" s="72">
        <f t="shared" si="261"/>
        <v>3499.9600000000005</v>
      </c>
      <c r="DQ130" s="72">
        <f t="shared" si="261"/>
        <v>2118.06</v>
      </c>
      <c r="DR130" s="72">
        <f t="shared" si="261"/>
        <v>1390.0600000000002</v>
      </c>
      <c r="DS130" s="72">
        <f t="shared" si="261"/>
        <v>2044.4600000000005</v>
      </c>
      <c r="DT130" s="72">
        <f t="shared" si="261"/>
        <v>1999.3600000000004</v>
      </c>
      <c r="DU130" s="72">
        <f t="shared" si="261"/>
        <v>1757.2600000000002</v>
      </c>
      <c r="DV130" s="72">
        <f t="shared" si="261"/>
        <v>1804.1600000000003</v>
      </c>
      <c r="DW130" s="72">
        <f t="shared" si="261"/>
        <v>2073.66</v>
      </c>
      <c r="DX130" s="72">
        <f t="shared" si="261"/>
        <v>1983.46</v>
      </c>
      <c r="DY130" s="72">
        <f t="shared" si="261"/>
        <v>2018.5600000000004</v>
      </c>
      <c r="DZ130" s="72">
        <f t="shared" si="261"/>
        <v>2078.86</v>
      </c>
      <c r="EA130" s="72">
        <f t="shared" si="261"/>
        <v>1816.9600000000003</v>
      </c>
      <c r="EB130" s="72">
        <f t="shared" si="261"/>
        <v>2434.2600000000007</v>
      </c>
      <c r="EC130" s="72">
        <f t="shared" si="261"/>
        <v>2022.46</v>
      </c>
      <c r="ED130" s="72">
        <f t="shared" si="261"/>
        <v>1804.8600000000001</v>
      </c>
      <c r="EE130" s="72">
        <f t="shared" si="261"/>
        <v>2099.06</v>
      </c>
      <c r="EF130" s="72">
        <f t="shared" si="261"/>
        <v>2057.86</v>
      </c>
      <c r="EG130" s="72">
        <f t="shared" si="261"/>
        <v>1861.36</v>
      </c>
      <c r="EH130" s="72">
        <f t="shared" si="261"/>
        <v>1943.06</v>
      </c>
      <c r="EI130" s="72">
        <f t="shared" si="261"/>
        <v>1776.0600000000002</v>
      </c>
      <c r="EJ130" s="72">
        <f t="shared" si="261"/>
        <v>1763.0600000000002</v>
      </c>
      <c r="EK130" s="72">
        <f t="shared" si="261"/>
        <v>2510.4600000000005</v>
      </c>
      <c r="EL130" s="72">
        <f t="shared" si="261"/>
        <v>2646.3600000000006</v>
      </c>
      <c r="EM130" s="72">
        <f t="shared" si="261"/>
        <v>2629.7600000000007</v>
      </c>
      <c r="EN130" s="72">
        <f t="shared" si="261"/>
        <v>3219.96</v>
      </c>
      <c r="EO130" s="72">
        <f t="shared" si="261"/>
        <v>3341.66</v>
      </c>
      <c r="EP130" s="72">
        <f t="shared" si="261"/>
        <v>3637.96</v>
      </c>
      <c r="EQ130" s="72">
        <f t="shared" si="261"/>
        <v>1995.6600000000003</v>
      </c>
      <c r="ER130" s="72">
        <f t="shared" si="261"/>
        <v>2195.8599999999997</v>
      </c>
      <c r="ES130" s="72">
        <f t="shared" si="261"/>
        <v>2122.06</v>
      </c>
      <c r="ET130" s="72">
        <f t="shared" si="261"/>
        <v>2092.9599999999996</v>
      </c>
      <c r="EU130" s="72">
        <f t="shared" si="261"/>
        <v>1895.06</v>
      </c>
      <c r="EV130" s="72">
        <f t="shared" si="261"/>
        <v>2552.5600000000004</v>
      </c>
      <c r="EW130" s="72">
        <f t="shared" si="261"/>
        <v>2558.9800000000005</v>
      </c>
      <c r="EX130" s="72">
        <f t="shared" si="261"/>
        <v>2373.88</v>
      </c>
      <c r="EY130" s="72">
        <f t="shared" si="261"/>
        <v>1993.8799999999999</v>
      </c>
      <c r="EZ130" s="72">
        <f t="shared" si="261"/>
        <v>2369.9799999999996</v>
      </c>
      <c r="FA130" s="72">
        <f t="shared" si="261"/>
        <v>1971.28</v>
      </c>
      <c r="FB130" s="72">
        <f t="shared" si="261"/>
        <v>2060.68</v>
      </c>
      <c r="FC130" s="72">
        <f t="shared" si="261"/>
        <v>1904.28</v>
      </c>
      <c r="FD130" s="72">
        <f t="shared" si="261"/>
        <v>1994.1800000000003</v>
      </c>
      <c r="FE130" s="72">
        <f t="shared" si="261"/>
        <v>1611.58</v>
      </c>
      <c r="FF130" s="72">
        <f t="shared" si="261"/>
        <v>2196.08</v>
      </c>
      <c r="FG130" s="72">
        <f t="shared" si="261"/>
        <v>2087.23</v>
      </c>
      <c r="FH130" s="72">
        <f t="shared" si="261"/>
        <v>2080.93</v>
      </c>
      <c r="FI130" s="72">
        <f aca="true" t="shared" si="262" ref="FI130:GO130">FI7+FI10+FI13+FI16+FI19+FI22+FI25+FI28+FI31+FI34+FI37+FI40+FI43+FI46+FI49+FI52+FI55+FI58+FI61+FI64+FI67+FI70+FI73+FI76+FI79+FI82+FI85+FI88+FI91+FI94+FI97+FI100+FI103+FI106+FI109+FI112+FI115+FI118+FI121+FI124+FI127</f>
        <v>1958.0300000000002</v>
      </c>
      <c r="FJ130" s="72">
        <f t="shared" si="262"/>
        <v>1764.23</v>
      </c>
      <c r="FK130" s="72">
        <f t="shared" si="262"/>
        <v>1771.4299999999998</v>
      </c>
      <c r="FL130" s="72">
        <f t="shared" si="262"/>
        <v>2157.7299999999996</v>
      </c>
      <c r="FM130" s="72">
        <f t="shared" si="262"/>
        <v>2405.129999999999</v>
      </c>
      <c r="FN130" s="72">
        <f t="shared" si="262"/>
        <v>2721.0299999999993</v>
      </c>
      <c r="FO130" s="72">
        <f t="shared" si="262"/>
        <v>3209.8299999999995</v>
      </c>
      <c r="FP130" s="72">
        <f t="shared" si="262"/>
        <v>3453.73</v>
      </c>
      <c r="FQ130" s="72">
        <f t="shared" si="262"/>
        <v>3492.1300000000006</v>
      </c>
      <c r="FR130" s="72">
        <f t="shared" si="262"/>
        <v>4000.4300000000007</v>
      </c>
      <c r="FS130" s="72">
        <f t="shared" si="262"/>
        <v>1993.4300000000007</v>
      </c>
      <c r="FT130" s="72">
        <f t="shared" si="262"/>
        <v>1800.2300000000005</v>
      </c>
      <c r="FU130" s="72">
        <f t="shared" si="262"/>
        <v>1574.2300000000005</v>
      </c>
      <c r="FV130" s="72">
        <f t="shared" si="262"/>
        <v>1763.5300000000007</v>
      </c>
      <c r="FW130" s="72">
        <f t="shared" si="262"/>
        <v>1593.5300000000007</v>
      </c>
      <c r="FX130" s="72">
        <f t="shared" si="262"/>
        <v>1776.8500000000008</v>
      </c>
      <c r="FY130" s="72">
        <f t="shared" si="262"/>
        <v>1515.4500000000007</v>
      </c>
      <c r="FZ130" s="72">
        <f t="shared" si="262"/>
        <v>1225.4500000000005</v>
      </c>
      <c r="GA130" s="72">
        <f t="shared" si="262"/>
        <v>1021.05</v>
      </c>
      <c r="GB130" s="72">
        <f t="shared" si="262"/>
        <v>799.05</v>
      </c>
      <c r="GC130" s="72">
        <f t="shared" si="262"/>
        <v>658.85</v>
      </c>
      <c r="GD130" s="72">
        <f t="shared" si="262"/>
        <v>658.85</v>
      </c>
      <c r="GE130" s="72">
        <f t="shared" si="262"/>
        <v>628.85</v>
      </c>
      <c r="GF130" s="72">
        <f t="shared" si="262"/>
        <v>598.8500000000001</v>
      </c>
      <c r="GG130" s="72">
        <f t="shared" si="262"/>
        <v>586.6500000000001</v>
      </c>
      <c r="GH130" s="72">
        <f t="shared" si="262"/>
        <v>539.4500000000002</v>
      </c>
      <c r="GI130" s="72">
        <f t="shared" si="262"/>
        <v>539.4500000000002</v>
      </c>
      <c r="GJ130" s="72">
        <f t="shared" si="262"/>
        <v>539.4500000000002</v>
      </c>
      <c r="GK130" s="72">
        <f t="shared" si="262"/>
        <v>539.4500000000002</v>
      </c>
      <c r="GL130" s="72">
        <f t="shared" si="262"/>
        <v>539.4500000000002</v>
      </c>
      <c r="GM130" s="72">
        <f t="shared" si="262"/>
        <v>539.4500000000002</v>
      </c>
      <c r="GN130" s="72">
        <f t="shared" si="262"/>
        <v>539.4500000000002</v>
      </c>
      <c r="GO130" s="72">
        <f t="shared" si="262"/>
        <v>565.4500000000002</v>
      </c>
    </row>
    <row r="131" spans="1:197" ht="17.25" customHeight="1">
      <c r="A131" s="47"/>
      <c r="B131" s="47"/>
      <c r="C131" s="71" t="s">
        <v>216</v>
      </c>
      <c r="D131" s="72">
        <f>D6+D9+D12+D15+D18+D21+D24+D27+D30+D33+D36+D39+D42+D45+D48+D51+D54+D57+D60+D63+D66+D69+D72+D75+D78+D81+D84+D87+D90+D93+D96+D99+D102+D105+D108+D111+D114+D117+D120+D123+D126</f>
        <v>300.4</v>
      </c>
      <c r="E131" s="72">
        <f>E6+E9+E12+E15+E18+E21+E24+E27+E30+E33+E36+E39+E42+E45+E48+E51+E54+E57+E60+E63+E66+E69+E72+E75+E78+E81+E84+E87+E90+E93+E96+E99+E102+E105+E108+E111+E114+E117+E120+E123+E126</f>
        <v>0</v>
      </c>
      <c r="F131" s="72">
        <f aca="true" t="shared" si="263" ref="F131:AI131">F6+F9+F12+F15+F18+F21+F24+F27+F30+F33+F36+F39+F42+F45+F48+F51+F54+F57+F60+F63+F66+F69+F72+F75+F78+F81+F84+F87+F90+F93+F96+F99+F102+F105+F108+F111+F114+F117+F120+F123+F126</f>
        <v>497.7</v>
      </c>
      <c r="G131" s="72">
        <f t="shared" si="263"/>
        <v>269.90000000000003</v>
      </c>
      <c r="H131" s="72">
        <f>H6+H9+H12+H15+H18+H21+H24+H27+H30+H33+H36+H39+H42+H45+H48+H51+H54+H57+H60+H63+H66+H69+H72+H75+H78+H81+H84+H87+H90+H93+H96+H99+H102+H105+H108+H111+H114+H117+H120+H123+H126</f>
        <v>199.1</v>
      </c>
      <c r="I131" s="72">
        <f t="shared" si="263"/>
        <v>0</v>
      </c>
      <c r="J131" s="72">
        <f>J6+J9+J12+J15+J18+J21+J24+J27+J30+J33+J36+J39+J42+J45+J48+J51+J54+J57+J60+J63+J66+J69+J72+J75+J78+J81+J84+J87+J90+J93+J96+J99+J102+J105+J108+J111+J114+J117+J120+J123+J126</f>
        <v>40.1</v>
      </c>
      <c r="K131" s="72">
        <f t="shared" si="263"/>
        <v>0</v>
      </c>
      <c r="L131" s="72">
        <f t="shared" si="263"/>
        <v>0</v>
      </c>
      <c r="M131" s="72">
        <f t="shared" si="263"/>
        <v>0</v>
      </c>
      <c r="N131" s="72">
        <f t="shared" si="263"/>
        <v>31</v>
      </c>
      <c r="O131" s="72">
        <f t="shared" si="263"/>
        <v>2324.7000000000003</v>
      </c>
      <c r="P131" s="72">
        <f t="shared" si="263"/>
        <v>211.99999999999997</v>
      </c>
      <c r="Q131" s="72">
        <f t="shared" si="263"/>
        <v>10</v>
      </c>
      <c r="R131" s="72">
        <f t="shared" si="263"/>
        <v>703.3</v>
      </c>
      <c r="S131" s="72">
        <f t="shared" si="263"/>
        <v>251.8</v>
      </c>
      <c r="T131" s="72">
        <f t="shared" si="263"/>
        <v>286.7</v>
      </c>
      <c r="U131" s="72">
        <f t="shared" si="263"/>
        <v>0</v>
      </c>
      <c r="V131" s="72">
        <f t="shared" si="263"/>
        <v>0</v>
      </c>
      <c r="W131" s="72">
        <f t="shared" si="263"/>
        <v>0</v>
      </c>
      <c r="X131" s="72">
        <f t="shared" si="263"/>
        <v>814.5</v>
      </c>
      <c r="Y131" s="72">
        <f t="shared" si="263"/>
        <v>190.19999999999996</v>
      </c>
      <c r="Z131" s="72">
        <f t="shared" si="263"/>
        <v>167.2</v>
      </c>
      <c r="AA131" s="72">
        <f t="shared" si="263"/>
        <v>14</v>
      </c>
      <c r="AB131" s="72">
        <f t="shared" si="263"/>
        <v>241.7</v>
      </c>
      <c r="AC131" s="72">
        <f t="shared" si="263"/>
        <v>0</v>
      </c>
      <c r="AD131" s="72">
        <f t="shared" si="263"/>
        <v>594.4</v>
      </c>
      <c r="AE131" s="72">
        <f t="shared" si="263"/>
        <v>287.29999999999995</v>
      </c>
      <c r="AF131" s="72">
        <f t="shared" si="263"/>
        <v>382.09999999999997</v>
      </c>
      <c r="AG131" s="72">
        <f t="shared" si="263"/>
        <v>224.7</v>
      </c>
      <c r="AH131" s="72">
        <f t="shared" si="263"/>
        <v>303.09999999999997</v>
      </c>
      <c r="AI131" s="72">
        <f t="shared" si="263"/>
        <v>10</v>
      </c>
      <c r="AJ131" s="72">
        <f aca="true" t="shared" si="264" ref="AJ131:CU131">AJ6+AJ9+AJ12+AJ15+AJ18+AJ21+AJ24+AJ27+AJ30+AJ33+AJ36+AJ39+AJ42+AJ45+AJ48+AJ51+AJ54+AJ57+AJ60+AJ63+AJ66+AJ69+AJ72+AJ75+AJ78+AJ81+AJ84+AJ87+AJ90+AJ93+AJ96+AJ99+AJ102+AJ105+AJ108+AJ111+AJ114+AJ117+AJ120+AJ123+AJ126</f>
        <v>64.5</v>
      </c>
      <c r="AK131" s="72">
        <f t="shared" si="264"/>
        <v>0</v>
      </c>
      <c r="AL131" s="72">
        <f t="shared" si="264"/>
        <v>11.399999999999999</v>
      </c>
      <c r="AM131" s="72">
        <f t="shared" si="264"/>
        <v>15.1</v>
      </c>
      <c r="AN131" s="72">
        <f t="shared" si="264"/>
        <v>45.9</v>
      </c>
      <c r="AO131" s="72">
        <f t="shared" si="264"/>
        <v>0</v>
      </c>
      <c r="AP131" s="72">
        <f t="shared" si="264"/>
        <v>2033.5000000000002</v>
      </c>
      <c r="AQ131" s="72">
        <f t="shared" si="264"/>
        <v>320</v>
      </c>
      <c r="AR131" s="72">
        <f t="shared" si="264"/>
        <v>297.3</v>
      </c>
      <c r="AS131" s="72">
        <f t="shared" si="264"/>
        <v>262.6</v>
      </c>
      <c r="AT131" s="72">
        <f t="shared" si="264"/>
        <v>276.8</v>
      </c>
      <c r="AU131" s="72">
        <f t="shared" si="264"/>
        <v>0</v>
      </c>
      <c r="AV131" s="72">
        <f t="shared" si="264"/>
        <v>437.5</v>
      </c>
      <c r="AW131" s="72">
        <f t="shared" si="264"/>
        <v>240.3</v>
      </c>
      <c r="AX131" s="72">
        <f t="shared" si="264"/>
        <v>264.79999999999995</v>
      </c>
      <c r="AY131" s="72">
        <f t="shared" si="264"/>
        <v>235</v>
      </c>
      <c r="AZ131" s="72">
        <f t="shared" si="264"/>
        <v>328.6</v>
      </c>
      <c r="BA131" s="72">
        <f t="shared" si="264"/>
        <v>10</v>
      </c>
      <c r="BB131" s="72">
        <f t="shared" si="264"/>
        <v>394.8</v>
      </c>
      <c r="BC131" s="72">
        <f t="shared" si="264"/>
        <v>299.6</v>
      </c>
      <c r="BD131" s="72">
        <f t="shared" si="264"/>
        <v>313.2</v>
      </c>
      <c r="BE131" s="72">
        <f t="shared" si="264"/>
        <v>245</v>
      </c>
      <c r="BF131" s="72">
        <f t="shared" si="264"/>
        <v>264.6</v>
      </c>
      <c r="BG131" s="72">
        <f t="shared" si="264"/>
        <v>0</v>
      </c>
      <c r="BH131" s="72">
        <f t="shared" si="264"/>
        <v>256.9</v>
      </c>
      <c r="BI131" s="72">
        <f t="shared" si="264"/>
        <v>46.9</v>
      </c>
      <c r="BJ131" s="72">
        <f t="shared" si="264"/>
        <v>9.4</v>
      </c>
      <c r="BK131" s="72">
        <f t="shared" si="264"/>
        <v>9.8</v>
      </c>
      <c r="BL131" s="72">
        <f t="shared" si="264"/>
        <v>34.7</v>
      </c>
      <c r="BM131" s="72">
        <f t="shared" si="264"/>
        <v>0</v>
      </c>
      <c r="BN131" s="72">
        <f t="shared" si="264"/>
        <v>0</v>
      </c>
      <c r="BO131" s="72">
        <f t="shared" si="264"/>
        <v>0</v>
      </c>
      <c r="BP131" s="72">
        <f t="shared" si="264"/>
        <v>2254.2</v>
      </c>
      <c r="BQ131" s="72">
        <f t="shared" si="264"/>
        <v>322.1</v>
      </c>
      <c r="BR131" s="72">
        <f t="shared" si="264"/>
        <v>192</v>
      </c>
      <c r="BS131" s="72">
        <f t="shared" si="264"/>
        <v>300</v>
      </c>
      <c r="BT131" s="73">
        <f t="shared" si="264"/>
        <v>65</v>
      </c>
      <c r="BU131" s="73">
        <f t="shared" si="264"/>
        <v>0</v>
      </c>
      <c r="BV131" s="73">
        <f t="shared" si="264"/>
        <v>0</v>
      </c>
      <c r="BW131" s="72">
        <f t="shared" si="264"/>
        <v>776.9000000000001</v>
      </c>
      <c r="BX131" s="72">
        <f t="shared" si="264"/>
        <v>278.5</v>
      </c>
      <c r="BY131" s="72">
        <f t="shared" si="264"/>
        <v>101.5</v>
      </c>
      <c r="BZ131" s="72">
        <f t="shared" si="264"/>
        <v>458.59999999999997</v>
      </c>
      <c r="CA131" s="72">
        <f>CA6+CA9+CA12+CA15+CA18+CA21+CA24+CA27+CA30+CA33+CA36+CA39+CA42+CA45+CA48+CA51+CA54+CA57+CA60+CA63+CA66+CA69+CA72+CA75+CA78+CA81+CA84+CA87+CA90+CA93+CA96+CA99+CA102+CA105+CA108+CA111+CA114+CA117+CA120+CA123+CA126</f>
        <v>281.2</v>
      </c>
      <c r="CB131" s="72">
        <f t="shared" si="264"/>
        <v>199.2</v>
      </c>
      <c r="CC131" s="72">
        <f>CC6+CC9+CC12+CC15+CC18+CC21+CC24+CC27+CC30+CC33+CC36+CC39+CC42+CC45+CC48+CC51+CC54+CC57+CC60+CC63+CC66+CC69+CC72+CC75+CC78+CC81+CC84+CC87+CC90+CC93+CC96+CC99+CC102+CC105+CC108+CC111+CC114+CC117+CC120+CC123+CC126</f>
        <v>308.7</v>
      </c>
      <c r="CD131" s="72">
        <f t="shared" si="264"/>
        <v>262.2</v>
      </c>
      <c r="CE131" s="72">
        <f t="shared" si="264"/>
        <v>25</v>
      </c>
      <c r="CF131" s="72">
        <f t="shared" si="264"/>
        <v>507.49999999999994</v>
      </c>
      <c r="CG131" s="72">
        <f t="shared" si="264"/>
        <v>268.5</v>
      </c>
      <c r="CH131" s="72">
        <f t="shared" si="264"/>
        <v>347.09999999999997</v>
      </c>
      <c r="CI131" s="72">
        <f t="shared" si="264"/>
        <v>2.9</v>
      </c>
      <c r="CJ131" s="72">
        <f t="shared" si="264"/>
        <v>442.8</v>
      </c>
      <c r="CK131" s="72">
        <f t="shared" si="264"/>
        <v>0</v>
      </c>
      <c r="CL131" s="72">
        <f t="shared" si="264"/>
        <v>0</v>
      </c>
      <c r="CM131" s="72">
        <f t="shared" si="264"/>
        <v>0</v>
      </c>
      <c r="CN131" s="72">
        <f t="shared" si="264"/>
        <v>0</v>
      </c>
      <c r="CO131" s="72">
        <f t="shared" si="264"/>
        <v>0</v>
      </c>
      <c r="CP131" s="72">
        <f t="shared" si="264"/>
        <v>2162.3499999999995</v>
      </c>
      <c r="CQ131" s="72">
        <f t="shared" si="264"/>
        <v>32.4</v>
      </c>
      <c r="CR131" s="72">
        <f t="shared" si="264"/>
        <v>274.2</v>
      </c>
      <c r="CS131" s="72">
        <f t="shared" si="264"/>
        <v>454.6</v>
      </c>
      <c r="CT131" s="72">
        <f t="shared" si="264"/>
        <v>308.6</v>
      </c>
      <c r="CU131" s="72">
        <f t="shared" si="264"/>
        <v>249.29999999999998</v>
      </c>
      <c r="CV131" s="72">
        <f>CV6+CV9+CV12+CV15+CV18+CV21+CV24+CV27+CV30+CV33+CV36+CV39+CV42+CV45+CV48+CV51+CV54+CV57+CV60+CV63+CV66+CV69+CV72+CV75+CV78+CV81+CV84+CV87+CV90+CV93+CV96+CV99+CV102+CV105+CV108+DB111+CV114+CV117+CV120+CV123+CV126</f>
        <v>297.6</v>
      </c>
      <c r="CW131" s="72">
        <f aca="true" t="shared" si="265" ref="CW131:FH131">CW6+CW9+CW12+CW15+CW18+CW21+CW24+CW27+CW30+CW33+CW36+CW39+CW42+CW45+CW48+CW51+CW54+CW57+CW60+CW63+CW66+CW69+CW72+CW75+CW78+CW81+CW84+CW87+CW90+CW93+CW96+CW99+CW102+CW105+CW108+CW111+CW114+CW117+CW120+CW123+CW126</f>
        <v>137.7</v>
      </c>
      <c r="CX131" s="72">
        <f t="shared" si="265"/>
        <v>21</v>
      </c>
      <c r="CY131" s="72">
        <f t="shared" si="265"/>
        <v>0</v>
      </c>
      <c r="CZ131" s="72">
        <f t="shared" si="265"/>
        <v>768.6999999999999</v>
      </c>
      <c r="DA131" s="72">
        <f t="shared" si="265"/>
        <v>305.2</v>
      </c>
      <c r="DB131" s="72">
        <f t="shared" si="265"/>
        <v>333.9</v>
      </c>
      <c r="DC131" s="72">
        <f t="shared" si="265"/>
        <v>0</v>
      </c>
      <c r="DD131" s="72">
        <f t="shared" si="265"/>
        <v>489.6</v>
      </c>
      <c r="DE131" s="72">
        <f t="shared" si="265"/>
        <v>326.3</v>
      </c>
      <c r="DF131" s="72">
        <f t="shared" si="265"/>
        <v>414.1</v>
      </c>
      <c r="DG131" s="72">
        <f t="shared" si="265"/>
        <v>259.2</v>
      </c>
      <c r="DH131" s="72">
        <f t="shared" si="265"/>
        <v>319.3</v>
      </c>
      <c r="DI131" s="72">
        <f t="shared" si="265"/>
        <v>35</v>
      </c>
      <c r="DJ131" s="72">
        <f t="shared" si="265"/>
        <v>14.1</v>
      </c>
      <c r="DK131" s="72">
        <f t="shared" si="265"/>
        <v>1.5</v>
      </c>
      <c r="DL131" s="72">
        <f t="shared" si="265"/>
        <v>12.7</v>
      </c>
      <c r="DM131" s="72">
        <f t="shared" si="265"/>
        <v>0</v>
      </c>
      <c r="DN131" s="72">
        <f t="shared" si="265"/>
        <v>64.3</v>
      </c>
      <c r="DO131" s="72">
        <f t="shared" si="265"/>
        <v>0</v>
      </c>
      <c r="DP131" s="72">
        <f t="shared" si="265"/>
        <v>1419.5</v>
      </c>
      <c r="DQ131" s="72">
        <f t="shared" si="265"/>
        <v>763.8</v>
      </c>
      <c r="DR131" s="72">
        <f t="shared" si="265"/>
        <v>194.7</v>
      </c>
      <c r="DS131" s="72">
        <f t="shared" si="265"/>
        <v>227.2</v>
      </c>
      <c r="DT131" s="72">
        <f t="shared" si="265"/>
        <v>440</v>
      </c>
      <c r="DU131" s="72">
        <f t="shared" si="265"/>
        <v>0</v>
      </c>
      <c r="DV131" s="72">
        <f t="shared" si="265"/>
        <v>381.19999999999993</v>
      </c>
      <c r="DW131" s="72">
        <f t="shared" si="265"/>
        <v>292.7</v>
      </c>
      <c r="DX131" s="72">
        <f t="shared" si="265"/>
        <v>327.50000000000006</v>
      </c>
      <c r="DY131" s="72">
        <f t="shared" si="265"/>
        <v>304.5</v>
      </c>
      <c r="DZ131" s="72">
        <f t="shared" si="265"/>
        <v>301.09999999999997</v>
      </c>
      <c r="EA131" s="72">
        <f t="shared" si="265"/>
        <v>0</v>
      </c>
      <c r="EB131" s="72">
        <f t="shared" si="265"/>
        <v>411.8</v>
      </c>
      <c r="EC131" s="72">
        <f t="shared" si="265"/>
        <v>236.6</v>
      </c>
      <c r="ED131" s="72">
        <f t="shared" si="265"/>
        <v>310.9</v>
      </c>
      <c r="EE131" s="72">
        <f t="shared" si="265"/>
        <v>251.9</v>
      </c>
      <c r="EF131" s="72">
        <f t="shared" si="265"/>
        <v>218.29999999999998</v>
      </c>
      <c r="EG131" s="72">
        <f t="shared" si="265"/>
        <v>145</v>
      </c>
      <c r="EH131" s="72">
        <f t="shared" si="265"/>
        <v>185.70000000000002</v>
      </c>
      <c r="EI131" s="72">
        <f t="shared" si="265"/>
        <v>116.60000000000001</v>
      </c>
      <c r="EJ131" s="72">
        <f t="shared" si="265"/>
        <v>60</v>
      </c>
      <c r="EK131" s="72">
        <f t="shared" si="265"/>
        <v>38.1</v>
      </c>
      <c r="EL131" s="72">
        <f t="shared" si="265"/>
        <v>25</v>
      </c>
      <c r="EM131" s="72">
        <f t="shared" si="265"/>
        <v>0</v>
      </c>
      <c r="EN131" s="72">
        <f t="shared" si="265"/>
        <v>1.7</v>
      </c>
      <c r="EO131" s="72">
        <f t="shared" si="265"/>
        <v>0</v>
      </c>
      <c r="EP131" s="72">
        <f t="shared" si="265"/>
        <v>2164.5999999999995</v>
      </c>
      <c r="EQ131" s="72">
        <f t="shared" si="265"/>
        <v>238.1</v>
      </c>
      <c r="ER131" s="72">
        <f t="shared" si="265"/>
        <v>318.8</v>
      </c>
      <c r="ES131" s="72">
        <f t="shared" si="265"/>
        <v>180</v>
      </c>
      <c r="ET131" s="72">
        <f t="shared" si="265"/>
        <v>466.70000000000005</v>
      </c>
      <c r="EU131" s="72">
        <f t="shared" si="265"/>
        <v>250</v>
      </c>
      <c r="EV131" s="72">
        <f t="shared" si="265"/>
        <v>270.29999999999995</v>
      </c>
      <c r="EW131" s="72">
        <f t="shared" si="265"/>
        <v>280.2</v>
      </c>
      <c r="EX131" s="72">
        <f t="shared" si="265"/>
        <v>412.6</v>
      </c>
      <c r="EY131" s="72">
        <f t="shared" si="265"/>
        <v>0</v>
      </c>
      <c r="EZ131" s="72">
        <f t="shared" si="265"/>
        <v>403.3</v>
      </c>
      <c r="FA131" s="72">
        <f t="shared" si="265"/>
        <v>507.1</v>
      </c>
      <c r="FB131" s="72">
        <f t="shared" si="265"/>
        <v>237.2</v>
      </c>
      <c r="FC131" s="72">
        <f t="shared" si="265"/>
        <v>111.3</v>
      </c>
      <c r="FD131" s="72">
        <f t="shared" si="265"/>
        <v>384</v>
      </c>
      <c r="FE131" s="72">
        <f t="shared" si="265"/>
        <v>0</v>
      </c>
      <c r="FF131" s="72">
        <f t="shared" si="265"/>
        <v>443.65000000000003</v>
      </c>
      <c r="FG131" s="72">
        <f t="shared" si="265"/>
        <v>279.50000000000006</v>
      </c>
      <c r="FH131" s="72">
        <f t="shared" si="265"/>
        <v>306.4</v>
      </c>
      <c r="FI131" s="72">
        <f aca="true" t="shared" si="266" ref="FI131:GO131">FI6+FI9+FI12+FI15+FI18+FI21+FI24+FI27+FI30+FI33+FI36+FI39+FI42+FI45+FI48+FI51+FI54+FI57+FI60+FI63+FI66+FI69+FI72+FI75+FI78+FI81+FI84+FI87+FI90+FI93+FI96+FI99+FI102+FI105+FI108+FI111+FI114+FI117+FI120+FI123+FI126</f>
        <v>253.6</v>
      </c>
      <c r="FJ131" s="72">
        <f t="shared" si="266"/>
        <v>0</v>
      </c>
      <c r="FK131" s="72">
        <f t="shared" si="266"/>
        <v>2.1</v>
      </c>
      <c r="FL131" s="72">
        <f t="shared" si="266"/>
        <v>50</v>
      </c>
      <c r="FM131" s="72">
        <f t="shared" si="266"/>
        <v>0</v>
      </c>
      <c r="FN131" s="72">
        <f t="shared" si="266"/>
        <v>0</v>
      </c>
      <c r="FO131" s="72">
        <f t="shared" si="266"/>
        <v>0</v>
      </c>
      <c r="FP131" s="72">
        <f t="shared" si="266"/>
        <v>11.7</v>
      </c>
      <c r="FQ131" s="72">
        <f t="shared" si="266"/>
        <v>0</v>
      </c>
      <c r="FR131" s="72">
        <f t="shared" si="266"/>
        <v>2401.9999999999995</v>
      </c>
      <c r="FS131" s="72">
        <f t="shared" si="266"/>
        <v>240.7</v>
      </c>
      <c r="FT131" s="72">
        <f t="shared" si="266"/>
        <v>226</v>
      </c>
      <c r="FU131" s="72">
        <f t="shared" si="266"/>
        <v>196.1</v>
      </c>
      <c r="FV131" s="72">
        <f t="shared" si="266"/>
        <v>170</v>
      </c>
      <c r="FW131" s="72">
        <f t="shared" si="266"/>
        <v>0</v>
      </c>
      <c r="FX131" s="72">
        <f t="shared" si="266"/>
        <v>388.4</v>
      </c>
      <c r="FY131" s="72">
        <f t="shared" si="266"/>
        <v>290</v>
      </c>
      <c r="FZ131" s="72">
        <f t="shared" si="266"/>
        <v>263</v>
      </c>
      <c r="GA131" s="72">
        <f t="shared" si="266"/>
        <v>222</v>
      </c>
      <c r="GB131" s="72">
        <f t="shared" si="266"/>
        <v>140.2</v>
      </c>
      <c r="GC131" s="72">
        <f t="shared" si="266"/>
        <v>0</v>
      </c>
      <c r="GD131" s="72">
        <f t="shared" si="266"/>
        <v>30</v>
      </c>
      <c r="GE131" s="72">
        <f t="shared" si="266"/>
        <v>30</v>
      </c>
      <c r="GF131" s="72">
        <f t="shared" si="266"/>
        <v>30</v>
      </c>
      <c r="GG131" s="72">
        <f t="shared" si="266"/>
        <v>47.2</v>
      </c>
      <c r="GH131" s="72">
        <f t="shared" si="266"/>
        <v>0</v>
      </c>
      <c r="GI131" s="72">
        <f t="shared" si="266"/>
        <v>0</v>
      </c>
      <c r="GJ131" s="72">
        <f t="shared" si="266"/>
        <v>0</v>
      </c>
      <c r="GK131" s="72">
        <f t="shared" si="266"/>
        <v>0</v>
      </c>
      <c r="GL131" s="72">
        <f t="shared" si="266"/>
        <v>0</v>
      </c>
      <c r="GM131" s="72">
        <f t="shared" si="266"/>
        <v>0</v>
      </c>
      <c r="GN131" s="72">
        <f t="shared" si="266"/>
        <v>0</v>
      </c>
      <c r="GO131" s="72">
        <f t="shared" si="266"/>
        <v>0</v>
      </c>
    </row>
    <row r="132" spans="1:197" ht="27" customHeight="1">
      <c r="A132" s="74"/>
      <c r="B132" s="74"/>
      <c r="C132" s="75"/>
      <c r="D132" s="76">
        <f>D130-D131</f>
        <v>2936.6000000000004</v>
      </c>
      <c r="E132" s="76">
        <f>E130-E131</f>
        <v>2963.1000000000004</v>
      </c>
      <c r="F132" s="76">
        <f aca="true" t="shared" si="267" ref="F132:AI132">F130-F131</f>
        <v>2701.600000000001</v>
      </c>
      <c r="G132" s="76">
        <f t="shared" si="267"/>
        <v>2788.199999999999</v>
      </c>
      <c r="H132" s="76">
        <f t="shared" si="267"/>
        <v>2771.899999999999</v>
      </c>
      <c r="I132" s="76">
        <f t="shared" si="267"/>
        <v>3079.2</v>
      </c>
      <c r="J132" s="76">
        <f t="shared" si="267"/>
        <v>3300.4999999999995</v>
      </c>
      <c r="K132" s="76">
        <f t="shared" si="267"/>
        <v>3300.4999999999995</v>
      </c>
      <c r="L132" s="76">
        <f t="shared" si="267"/>
        <v>3627.4999999999995</v>
      </c>
      <c r="M132" s="76">
        <f t="shared" si="267"/>
        <v>3918.7000000000003</v>
      </c>
      <c r="N132" s="76">
        <f t="shared" si="267"/>
        <v>4290.2</v>
      </c>
      <c r="O132" s="76">
        <f t="shared" si="267"/>
        <v>2110.399999999999</v>
      </c>
      <c r="P132" s="76">
        <f t="shared" si="267"/>
        <v>2070.1000000000004</v>
      </c>
      <c r="Q132" s="76">
        <f t="shared" si="267"/>
        <v>2060.1</v>
      </c>
      <c r="R132" s="76">
        <f t="shared" si="267"/>
        <v>1886.6000000000006</v>
      </c>
      <c r="S132" s="76">
        <f t="shared" si="267"/>
        <v>1689.5</v>
      </c>
      <c r="T132" s="76">
        <f t="shared" si="267"/>
        <v>1773.4999999999998</v>
      </c>
      <c r="U132" s="76">
        <f t="shared" si="267"/>
        <v>1875.8000000000002</v>
      </c>
      <c r="V132" s="76">
        <f t="shared" si="267"/>
        <v>2002.1000000000004</v>
      </c>
      <c r="W132" s="76">
        <f t="shared" si="267"/>
        <v>2002.1000000000004</v>
      </c>
      <c r="X132" s="76">
        <f t="shared" si="267"/>
        <v>1428.9</v>
      </c>
      <c r="Y132" s="76">
        <f t="shared" si="267"/>
        <v>1481.4000000000003</v>
      </c>
      <c r="Z132" s="76">
        <f t="shared" si="267"/>
        <v>1734.1000000000001</v>
      </c>
      <c r="AA132" s="76">
        <f t="shared" si="267"/>
        <v>2035.5</v>
      </c>
      <c r="AB132" s="76">
        <f t="shared" si="267"/>
        <v>1978.7</v>
      </c>
      <c r="AC132" s="76">
        <f t="shared" si="267"/>
        <v>1978.7</v>
      </c>
      <c r="AD132" s="76">
        <f t="shared" si="267"/>
        <v>1695.6000000000004</v>
      </c>
      <c r="AE132" s="76">
        <f t="shared" si="267"/>
        <v>1704.6000000000004</v>
      </c>
      <c r="AF132" s="76">
        <f t="shared" si="267"/>
        <v>1666.2000000000007</v>
      </c>
      <c r="AG132" s="76">
        <f t="shared" si="267"/>
        <v>1489.4000000000005</v>
      </c>
      <c r="AH132" s="76">
        <f t="shared" si="267"/>
        <v>1381.9000000000008</v>
      </c>
      <c r="AI132" s="76">
        <f t="shared" si="267"/>
        <v>1371.9000000000003</v>
      </c>
      <c r="AJ132" s="76">
        <f aca="true" t="shared" si="268" ref="AJ132:CU132">AJ130-AJ131</f>
        <v>1749.8000000000009</v>
      </c>
      <c r="AK132" s="76">
        <f t="shared" si="268"/>
        <v>2285.8000000000006</v>
      </c>
      <c r="AL132" s="76">
        <f t="shared" si="268"/>
        <v>2525.3000000000006</v>
      </c>
      <c r="AM132" s="76">
        <f t="shared" si="268"/>
        <v>2559.6000000000004</v>
      </c>
      <c r="AN132" s="76">
        <f t="shared" si="268"/>
        <v>3276.3000000000006</v>
      </c>
      <c r="AO132" s="76">
        <f t="shared" si="268"/>
        <v>3276.300000000001</v>
      </c>
      <c r="AP132" s="76">
        <f t="shared" si="268"/>
        <v>1776.5000000000007</v>
      </c>
      <c r="AQ132" s="76">
        <f t="shared" si="268"/>
        <v>1662.5000000000005</v>
      </c>
      <c r="AR132" s="76">
        <f t="shared" si="268"/>
        <v>1626.3000000000004</v>
      </c>
      <c r="AS132" s="76">
        <f t="shared" si="268"/>
        <v>1418.3000000000002</v>
      </c>
      <c r="AT132" s="76">
        <f t="shared" si="268"/>
        <v>1418.4000000000003</v>
      </c>
      <c r="AU132" s="76">
        <f t="shared" si="268"/>
        <v>1492.7</v>
      </c>
      <c r="AV132" s="76">
        <f t="shared" si="268"/>
        <v>1464.9000000000003</v>
      </c>
      <c r="AW132" s="76">
        <f t="shared" si="268"/>
        <v>1782.0000000000002</v>
      </c>
      <c r="AX132" s="76">
        <f t="shared" si="268"/>
        <v>1726.5000000000002</v>
      </c>
      <c r="AY132" s="76">
        <f t="shared" si="268"/>
        <v>1676.9</v>
      </c>
      <c r="AZ132" s="76">
        <f t="shared" si="268"/>
        <v>1493.3000000000002</v>
      </c>
      <c r="BA132" s="76">
        <f t="shared" si="268"/>
        <v>1485.1000000000004</v>
      </c>
      <c r="BB132" s="76">
        <f t="shared" si="268"/>
        <v>1512.0000000000005</v>
      </c>
      <c r="BC132" s="76">
        <f t="shared" si="268"/>
        <v>1801.2000000000003</v>
      </c>
      <c r="BD132" s="76">
        <f t="shared" si="268"/>
        <v>1681.1000000000001</v>
      </c>
      <c r="BE132" s="76">
        <f t="shared" si="268"/>
        <v>1478.5000000000002</v>
      </c>
      <c r="BF132" s="76">
        <f t="shared" si="268"/>
        <v>1380.3000000000002</v>
      </c>
      <c r="BG132" s="76">
        <f t="shared" si="268"/>
        <v>1382.9000000000003</v>
      </c>
      <c r="BH132" s="76">
        <f t="shared" si="268"/>
        <v>1230.9</v>
      </c>
      <c r="BI132" s="76">
        <f t="shared" si="268"/>
        <v>1377.7000000000003</v>
      </c>
      <c r="BJ132" s="76">
        <f t="shared" si="268"/>
        <v>1971.9</v>
      </c>
      <c r="BK132" s="76">
        <f t="shared" si="268"/>
        <v>2268.2000000000007</v>
      </c>
      <c r="BL132" s="76">
        <f t="shared" si="268"/>
        <v>2330.400000000001</v>
      </c>
      <c r="BM132" s="76">
        <f t="shared" si="268"/>
        <v>2387.0000000000005</v>
      </c>
      <c r="BN132" s="76">
        <f t="shared" si="268"/>
        <v>3134.6000000000013</v>
      </c>
      <c r="BO132" s="76">
        <f t="shared" si="268"/>
        <v>3646.4000000000015</v>
      </c>
      <c r="BP132" s="76">
        <f t="shared" si="268"/>
        <v>1766.1000000000013</v>
      </c>
      <c r="BQ132" s="76">
        <f t="shared" si="268"/>
        <v>1498.1</v>
      </c>
      <c r="BR132" s="76">
        <f t="shared" si="268"/>
        <v>1783.3999999999999</v>
      </c>
      <c r="BS132" s="76">
        <f t="shared" si="268"/>
        <v>1822.4999999999995</v>
      </c>
      <c r="BT132" s="77">
        <f t="shared" si="268"/>
        <v>1862.2999999999995</v>
      </c>
      <c r="BU132" s="77">
        <f t="shared" si="268"/>
        <v>2101.9999999999995</v>
      </c>
      <c r="BV132" s="77">
        <f t="shared" si="268"/>
        <v>2434.7000000000003</v>
      </c>
      <c r="BW132" s="76">
        <f t="shared" si="268"/>
        <v>1695.1</v>
      </c>
      <c r="BX132" s="76">
        <f t="shared" si="268"/>
        <v>1681.3</v>
      </c>
      <c r="BY132" s="76">
        <f t="shared" si="268"/>
        <v>1656.3999999999999</v>
      </c>
      <c r="BZ132" s="76">
        <f t="shared" si="268"/>
        <v>1784.500000000001</v>
      </c>
      <c r="CA132" s="76">
        <f t="shared" si="268"/>
        <v>1982.0200000000007</v>
      </c>
      <c r="CB132" s="76">
        <f t="shared" si="268"/>
        <v>2004.9200000000003</v>
      </c>
      <c r="CC132" s="76">
        <f t="shared" si="268"/>
        <v>1751.1200000000001</v>
      </c>
      <c r="CD132" s="76">
        <f t="shared" si="268"/>
        <v>1659.3200000000002</v>
      </c>
      <c r="CE132" s="76">
        <f t="shared" si="268"/>
        <v>1679.8200000000004</v>
      </c>
      <c r="CF132" s="76">
        <f t="shared" si="268"/>
        <v>1427.5200000000002</v>
      </c>
      <c r="CG132" s="76">
        <f t="shared" si="268"/>
        <v>1210.0200000000002</v>
      </c>
      <c r="CH132" s="76">
        <f t="shared" si="268"/>
        <v>1634.6200000000001</v>
      </c>
      <c r="CI132" s="76">
        <f t="shared" si="268"/>
        <v>2040.12</v>
      </c>
      <c r="CJ132" s="76">
        <f t="shared" si="268"/>
        <v>2100.6199999999994</v>
      </c>
      <c r="CK132" s="76">
        <f t="shared" si="268"/>
        <v>2173.82</v>
      </c>
      <c r="CL132" s="76">
        <f t="shared" si="268"/>
        <v>2318.8199999999997</v>
      </c>
      <c r="CM132" s="76">
        <f t="shared" si="268"/>
        <v>2375.6199999999994</v>
      </c>
      <c r="CN132" s="76">
        <f t="shared" si="268"/>
        <v>2426.62</v>
      </c>
      <c r="CO132" s="76">
        <f t="shared" si="268"/>
        <v>2939.8199999999997</v>
      </c>
      <c r="CP132" s="76">
        <f t="shared" si="268"/>
        <v>1724.02</v>
      </c>
      <c r="CQ132" s="76">
        <f t="shared" si="268"/>
        <v>1796.1200000000001</v>
      </c>
      <c r="CR132" s="76">
        <f t="shared" si="268"/>
        <v>1676.2200000000003</v>
      </c>
      <c r="CS132" s="76">
        <f t="shared" si="268"/>
        <v>1645.92</v>
      </c>
      <c r="CT132" s="76">
        <f t="shared" si="268"/>
        <v>1520.62</v>
      </c>
      <c r="CU132" s="76">
        <f t="shared" si="268"/>
        <v>1645.6200000000001</v>
      </c>
      <c r="CV132" s="76">
        <f aca="true" t="shared" si="269" ref="CV132:FH132">CV130-CV131</f>
        <v>1804.9199999999996</v>
      </c>
      <c r="CW132" s="76">
        <f t="shared" si="269"/>
        <v>1727.22</v>
      </c>
      <c r="CX132" s="76">
        <f t="shared" si="269"/>
        <v>2316.7200000000003</v>
      </c>
      <c r="CY132" s="76">
        <f t="shared" si="269"/>
        <v>2316.7200000000003</v>
      </c>
      <c r="CZ132" s="76">
        <f t="shared" si="269"/>
        <v>1934.2200000000007</v>
      </c>
      <c r="DA132" s="76">
        <f t="shared" si="269"/>
        <v>2108.2200000000003</v>
      </c>
      <c r="DB132" s="76">
        <f t="shared" si="269"/>
        <v>1843.52</v>
      </c>
      <c r="DC132" s="76">
        <f t="shared" si="269"/>
        <v>1853.0200000000002</v>
      </c>
      <c r="DD132" s="76">
        <f t="shared" si="269"/>
        <v>1481.92</v>
      </c>
      <c r="DE132" s="76">
        <f t="shared" si="269"/>
        <v>1499.82</v>
      </c>
      <c r="DF132" s="76">
        <f t="shared" si="269"/>
        <v>1566.8199999999997</v>
      </c>
      <c r="DG132" s="76">
        <f t="shared" si="269"/>
        <v>1454.22</v>
      </c>
      <c r="DH132" s="76">
        <f t="shared" si="269"/>
        <v>1746.82</v>
      </c>
      <c r="DI132" s="76">
        <f t="shared" si="269"/>
        <v>1762.02</v>
      </c>
      <c r="DJ132" s="76">
        <f t="shared" si="269"/>
        <v>1950.34</v>
      </c>
      <c r="DK132" s="76">
        <f t="shared" si="269"/>
        <v>2636.3399999999997</v>
      </c>
      <c r="DL132" s="76">
        <f t="shared" si="269"/>
        <v>2687.5400000000004</v>
      </c>
      <c r="DM132" s="76">
        <f t="shared" si="269"/>
        <v>3077.7400000000002</v>
      </c>
      <c r="DN132" s="76">
        <f t="shared" si="269"/>
        <v>3238.2400000000002</v>
      </c>
      <c r="DO132" s="76">
        <f t="shared" si="269"/>
        <v>3286.6400000000003</v>
      </c>
      <c r="DP132" s="76">
        <f t="shared" si="269"/>
        <v>2080.4600000000005</v>
      </c>
      <c r="DQ132" s="76">
        <f t="shared" si="269"/>
        <v>1354.26</v>
      </c>
      <c r="DR132" s="76">
        <f t="shared" si="269"/>
        <v>1195.3600000000001</v>
      </c>
      <c r="DS132" s="76">
        <f t="shared" si="269"/>
        <v>1817.2600000000004</v>
      </c>
      <c r="DT132" s="76">
        <f t="shared" si="269"/>
        <v>1559.3600000000004</v>
      </c>
      <c r="DU132" s="76">
        <f t="shared" si="269"/>
        <v>1757.2600000000002</v>
      </c>
      <c r="DV132" s="76">
        <f t="shared" si="269"/>
        <v>1422.9600000000005</v>
      </c>
      <c r="DW132" s="76">
        <f t="shared" si="269"/>
        <v>1780.9599999999998</v>
      </c>
      <c r="DX132" s="76">
        <f t="shared" si="269"/>
        <v>1655.96</v>
      </c>
      <c r="DY132" s="76">
        <f t="shared" si="269"/>
        <v>1714.0600000000004</v>
      </c>
      <c r="DZ132" s="76">
        <f t="shared" si="269"/>
        <v>1777.7600000000002</v>
      </c>
      <c r="EA132" s="76">
        <f t="shared" si="269"/>
        <v>1816.9600000000003</v>
      </c>
      <c r="EB132" s="76">
        <f t="shared" si="269"/>
        <v>2022.4600000000007</v>
      </c>
      <c r="EC132" s="76">
        <f t="shared" si="269"/>
        <v>1785.8600000000001</v>
      </c>
      <c r="ED132" s="76">
        <f t="shared" si="269"/>
        <v>1493.96</v>
      </c>
      <c r="EE132" s="76">
        <f t="shared" si="269"/>
        <v>1847.1599999999999</v>
      </c>
      <c r="EF132" s="76">
        <f t="shared" si="269"/>
        <v>1839.5600000000002</v>
      </c>
      <c r="EG132" s="76">
        <f t="shared" si="269"/>
        <v>1716.36</v>
      </c>
      <c r="EH132" s="76">
        <f t="shared" si="269"/>
        <v>1757.36</v>
      </c>
      <c r="EI132" s="76">
        <f t="shared" si="269"/>
        <v>1659.4600000000003</v>
      </c>
      <c r="EJ132" s="76">
        <f t="shared" si="269"/>
        <v>1703.0600000000002</v>
      </c>
      <c r="EK132" s="76">
        <f t="shared" si="269"/>
        <v>2472.3600000000006</v>
      </c>
      <c r="EL132" s="76">
        <f t="shared" si="269"/>
        <v>2621.3600000000006</v>
      </c>
      <c r="EM132" s="76">
        <f t="shared" si="269"/>
        <v>2629.7600000000007</v>
      </c>
      <c r="EN132" s="76">
        <f t="shared" si="269"/>
        <v>3218.26</v>
      </c>
      <c r="EO132" s="76">
        <f t="shared" si="269"/>
        <v>3341.66</v>
      </c>
      <c r="EP132" s="76">
        <f t="shared" si="269"/>
        <v>1473.3600000000006</v>
      </c>
      <c r="EQ132" s="76">
        <f t="shared" si="269"/>
        <v>1757.5600000000004</v>
      </c>
      <c r="ER132" s="76">
        <f t="shared" si="269"/>
        <v>1877.0599999999997</v>
      </c>
      <c r="ES132" s="76">
        <f t="shared" si="269"/>
        <v>1942.06</v>
      </c>
      <c r="ET132" s="76">
        <f t="shared" si="269"/>
        <v>1626.2599999999995</v>
      </c>
      <c r="EU132" s="76">
        <f t="shared" si="269"/>
        <v>1645.06</v>
      </c>
      <c r="EV132" s="76">
        <f t="shared" si="269"/>
        <v>2282.26</v>
      </c>
      <c r="EW132" s="76">
        <f t="shared" si="269"/>
        <v>2278.7800000000007</v>
      </c>
      <c r="EX132" s="76">
        <f t="shared" si="269"/>
        <v>1961.2800000000002</v>
      </c>
      <c r="EY132" s="76">
        <f t="shared" si="269"/>
        <v>1993.8799999999999</v>
      </c>
      <c r="EZ132" s="76">
        <f t="shared" si="269"/>
        <v>1966.6799999999996</v>
      </c>
      <c r="FA132" s="76">
        <f t="shared" si="269"/>
        <v>1464.1799999999998</v>
      </c>
      <c r="FB132" s="76">
        <f t="shared" si="269"/>
        <v>1823.4799999999998</v>
      </c>
      <c r="FC132" s="76">
        <f t="shared" si="269"/>
        <v>1792.98</v>
      </c>
      <c r="FD132" s="76">
        <f t="shared" si="269"/>
        <v>1610.1800000000003</v>
      </c>
      <c r="FE132" s="76">
        <f t="shared" si="269"/>
        <v>1611.58</v>
      </c>
      <c r="FF132" s="76">
        <f t="shared" si="269"/>
        <v>1752.4299999999998</v>
      </c>
      <c r="FG132" s="76">
        <f t="shared" si="269"/>
        <v>1807.73</v>
      </c>
      <c r="FH132" s="76">
        <f t="shared" si="269"/>
        <v>1774.5299999999997</v>
      </c>
      <c r="FI132" s="76">
        <f aca="true" t="shared" si="270" ref="FI132:GO132">FI130-FI131</f>
        <v>1704.4300000000003</v>
      </c>
      <c r="FJ132" s="76">
        <f t="shared" si="270"/>
        <v>1764.23</v>
      </c>
      <c r="FK132" s="76">
        <f t="shared" si="270"/>
        <v>1769.33</v>
      </c>
      <c r="FL132" s="76">
        <f t="shared" si="270"/>
        <v>2107.7299999999996</v>
      </c>
      <c r="FM132" s="76">
        <f t="shared" si="270"/>
        <v>2405.129999999999</v>
      </c>
      <c r="FN132" s="76">
        <f t="shared" si="270"/>
        <v>2721.0299999999993</v>
      </c>
      <c r="FO132" s="76">
        <f t="shared" si="270"/>
        <v>3209.8299999999995</v>
      </c>
      <c r="FP132" s="76">
        <f t="shared" si="270"/>
        <v>3442.03</v>
      </c>
      <c r="FQ132" s="76">
        <f t="shared" si="270"/>
        <v>3492.1300000000006</v>
      </c>
      <c r="FR132" s="76">
        <f t="shared" si="270"/>
        <v>1598.4300000000012</v>
      </c>
      <c r="FS132" s="76">
        <f t="shared" si="270"/>
        <v>1752.7300000000007</v>
      </c>
      <c r="FT132" s="76">
        <f t="shared" si="270"/>
        <v>1574.2300000000005</v>
      </c>
      <c r="FU132" s="76">
        <f t="shared" si="270"/>
        <v>1378.1300000000006</v>
      </c>
      <c r="FV132" s="76">
        <f t="shared" si="270"/>
        <v>1593.5300000000007</v>
      </c>
      <c r="FW132" s="76">
        <f t="shared" si="270"/>
        <v>1593.5300000000007</v>
      </c>
      <c r="FX132" s="76">
        <f t="shared" si="270"/>
        <v>1388.4500000000007</v>
      </c>
      <c r="FY132" s="76">
        <f t="shared" si="270"/>
        <v>1225.4500000000007</v>
      </c>
      <c r="FZ132" s="76">
        <f t="shared" si="270"/>
        <v>962.4500000000005</v>
      </c>
      <c r="GA132" s="76">
        <f t="shared" si="270"/>
        <v>799.05</v>
      </c>
      <c r="GB132" s="76">
        <f t="shared" si="270"/>
        <v>658.8499999999999</v>
      </c>
      <c r="GC132" s="76">
        <f t="shared" si="270"/>
        <v>658.85</v>
      </c>
      <c r="GD132" s="76">
        <f t="shared" si="270"/>
        <v>628.85</v>
      </c>
      <c r="GE132" s="76">
        <f t="shared" si="270"/>
        <v>598.85</v>
      </c>
      <c r="GF132" s="76">
        <f t="shared" si="270"/>
        <v>568.8500000000001</v>
      </c>
      <c r="GG132" s="76">
        <f t="shared" si="270"/>
        <v>539.45</v>
      </c>
      <c r="GH132" s="76">
        <f t="shared" si="270"/>
        <v>539.4500000000002</v>
      </c>
      <c r="GI132" s="76">
        <f t="shared" si="270"/>
        <v>539.4500000000002</v>
      </c>
      <c r="GJ132" s="76">
        <f t="shared" si="270"/>
        <v>539.4500000000002</v>
      </c>
      <c r="GK132" s="76">
        <f t="shared" si="270"/>
        <v>539.4500000000002</v>
      </c>
      <c r="GL132" s="76">
        <f t="shared" si="270"/>
        <v>539.4500000000002</v>
      </c>
      <c r="GM132" s="76">
        <f t="shared" si="270"/>
        <v>539.4500000000002</v>
      </c>
      <c r="GN132" s="76">
        <f t="shared" si="270"/>
        <v>539.4500000000002</v>
      </c>
      <c r="GO132" s="76">
        <f t="shared" si="270"/>
        <v>565.4500000000002</v>
      </c>
    </row>
    <row r="133" spans="1:197" ht="25.5" customHeight="1">
      <c r="A133" s="4"/>
      <c r="B133" s="4"/>
      <c r="C133" s="10" t="s">
        <v>266</v>
      </c>
      <c r="D133" s="78">
        <f>D8+D11+D14+D17+D20+D23+D26+D29+D32+D35+D38+D41+D44+D47+D50+D53+D56+D59+D62+D65+D68+D71+D74+D77+D80+D92+D95+D98+D119+D122+D125+D128</f>
        <v>2429.9</v>
      </c>
      <c r="E133" s="78">
        <f>E8+E11+E14+E17+E20+E23+E26+E29+E32+E35+E38+E41+E44+E47+E50+E53+E56+E59+E62+E65+E68+E71+E74+E77+E80+E92+E95+E98+E119+E122+E125+E128</f>
        <v>2456.4000000000005</v>
      </c>
      <c r="F133" s="78">
        <f aca="true" t="shared" si="271" ref="F133:AI133">F8+F11+F14+F17+F20+F23+F26+F29+F32+F35+F38+F41+F44+F47+F50+F53+F56+F59+F62+F65+F68+F71+F74+F77+F80+F92+F95+F98+F119+F122+F125+F128</f>
        <v>2192.0999999999995</v>
      </c>
      <c r="G133" s="78">
        <f t="shared" si="271"/>
        <v>2300.099999999999</v>
      </c>
      <c r="H133" s="78">
        <f t="shared" si="271"/>
        <v>2289.5999999999995</v>
      </c>
      <c r="I133" s="78">
        <f t="shared" si="271"/>
        <v>2596.9</v>
      </c>
      <c r="J133" s="78">
        <f t="shared" si="271"/>
        <v>2814.5</v>
      </c>
      <c r="K133" s="78">
        <f t="shared" si="271"/>
        <v>2814.5</v>
      </c>
      <c r="L133" s="78">
        <f t="shared" si="271"/>
        <v>3141.5</v>
      </c>
      <c r="M133" s="78">
        <f t="shared" si="271"/>
        <v>3432.7000000000007</v>
      </c>
      <c r="N133" s="78">
        <f t="shared" si="271"/>
        <v>3814.8999999999996</v>
      </c>
      <c r="O133" s="78">
        <f t="shared" si="271"/>
        <v>1701.2</v>
      </c>
      <c r="P133" s="78">
        <f t="shared" si="271"/>
        <v>1716.5000000000002</v>
      </c>
      <c r="Q133" s="78">
        <f t="shared" si="271"/>
        <v>1716.5000000000002</v>
      </c>
      <c r="R133" s="78">
        <f t="shared" si="271"/>
        <v>1427.8000000000002</v>
      </c>
      <c r="S133" s="78">
        <f t="shared" si="271"/>
        <v>1310.7</v>
      </c>
      <c r="T133" s="78">
        <f t="shared" si="271"/>
        <v>1414.0000000000005</v>
      </c>
      <c r="U133" s="78">
        <f t="shared" si="271"/>
        <v>1516.3000000000002</v>
      </c>
      <c r="V133" s="78">
        <f t="shared" si="271"/>
        <v>1642.6000000000004</v>
      </c>
      <c r="W133" s="78">
        <f t="shared" si="271"/>
        <v>1642.6000000000004</v>
      </c>
      <c r="X133" s="78">
        <f t="shared" si="271"/>
        <v>1098.7000000000003</v>
      </c>
      <c r="Y133" s="78">
        <f t="shared" si="271"/>
        <v>1173.0000000000002</v>
      </c>
      <c r="Z133" s="78">
        <f t="shared" si="271"/>
        <v>1478.8</v>
      </c>
      <c r="AA133" s="78">
        <f t="shared" si="271"/>
        <v>1686.0000000000002</v>
      </c>
      <c r="AB133" s="78">
        <f t="shared" si="271"/>
        <v>1650.9</v>
      </c>
      <c r="AC133" s="78">
        <f t="shared" si="271"/>
        <v>1650.9</v>
      </c>
      <c r="AD133" s="78">
        <f t="shared" si="271"/>
        <v>1367.8000000000002</v>
      </c>
      <c r="AE133" s="78">
        <f t="shared" si="271"/>
        <v>1342.7000000000003</v>
      </c>
      <c r="AF133" s="78">
        <f t="shared" si="271"/>
        <v>1350.8000000000004</v>
      </c>
      <c r="AG133" s="78">
        <f t="shared" si="271"/>
        <v>1179.0000000000002</v>
      </c>
      <c r="AH133" s="78">
        <f t="shared" si="271"/>
        <v>1071.5</v>
      </c>
      <c r="AI133" s="78">
        <f t="shared" si="271"/>
        <v>1071.5</v>
      </c>
      <c r="AJ133" s="78">
        <f aca="true" t="shared" si="272" ref="AJ133:CU133">AJ8+AJ11+AJ14+AJ17+AJ20+AJ23+AJ26+AJ29+AJ32+AJ35+AJ38+AJ41+AJ44+AJ47+AJ50+AJ53+AJ56+AJ59+AJ62+AJ65+AJ68+AJ71+AJ74+AJ77+AJ80+AJ92+AJ95+AJ98+AJ119+AJ122+AJ125+AJ128</f>
        <v>1445.4000000000003</v>
      </c>
      <c r="AK133" s="78">
        <f t="shared" si="272"/>
        <v>1981.4000000000008</v>
      </c>
      <c r="AL133" s="78">
        <f t="shared" si="272"/>
        <v>2232.3000000000006</v>
      </c>
      <c r="AM133" s="78">
        <f t="shared" si="272"/>
        <v>2281.7000000000003</v>
      </c>
      <c r="AN133" s="78">
        <f t="shared" si="272"/>
        <v>2998.600000000001</v>
      </c>
      <c r="AO133" s="78">
        <f t="shared" si="272"/>
        <v>2998.600000000001</v>
      </c>
      <c r="AP133" s="78">
        <f t="shared" si="272"/>
        <v>1498.6000000000004</v>
      </c>
      <c r="AQ133" s="78">
        <f t="shared" si="272"/>
        <v>1384.3000000000002</v>
      </c>
      <c r="AR133" s="78">
        <f t="shared" si="272"/>
        <v>1363.1000000000001</v>
      </c>
      <c r="AS133" s="78">
        <f t="shared" si="272"/>
        <v>1179.9</v>
      </c>
      <c r="AT133" s="78">
        <f t="shared" si="272"/>
        <v>1202.7</v>
      </c>
      <c r="AU133" s="78">
        <f t="shared" si="272"/>
        <v>1277</v>
      </c>
      <c r="AV133" s="78">
        <f t="shared" si="272"/>
        <v>1279.2</v>
      </c>
      <c r="AW133" s="78">
        <f t="shared" si="272"/>
        <v>1626.3999999999999</v>
      </c>
      <c r="AX133" s="78">
        <f t="shared" si="272"/>
        <v>1595.9</v>
      </c>
      <c r="AY133" s="78">
        <f t="shared" si="272"/>
        <v>1546.3</v>
      </c>
      <c r="AZ133" s="78">
        <f t="shared" si="272"/>
        <v>1367.5000000000002</v>
      </c>
      <c r="BA133" s="78">
        <f t="shared" si="272"/>
        <v>1369.3000000000002</v>
      </c>
      <c r="BB133" s="78">
        <f t="shared" si="272"/>
        <v>1311.4000000000003</v>
      </c>
      <c r="BC133" s="78">
        <f t="shared" si="272"/>
        <v>1610.7</v>
      </c>
      <c r="BD133" s="78">
        <f t="shared" si="272"/>
        <v>1500.6</v>
      </c>
      <c r="BE133" s="78">
        <f t="shared" si="272"/>
        <v>1298</v>
      </c>
      <c r="BF133" s="78">
        <f t="shared" si="272"/>
        <v>1184.1000000000001</v>
      </c>
      <c r="BG133" s="78">
        <f t="shared" si="272"/>
        <v>1186.7</v>
      </c>
      <c r="BH133" s="78">
        <f t="shared" si="272"/>
        <v>1058.6000000000001</v>
      </c>
      <c r="BI133" s="78">
        <f t="shared" si="272"/>
        <v>1214.5000000000002</v>
      </c>
      <c r="BJ133" s="78">
        <f t="shared" si="272"/>
        <v>1769.9</v>
      </c>
      <c r="BK133" s="78">
        <f t="shared" si="272"/>
        <v>2070.1000000000004</v>
      </c>
      <c r="BL133" s="78">
        <f t="shared" si="272"/>
        <v>2142</v>
      </c>
      <c r="BM133" s="78">
        <f t="shared" si="272"/>
        <v>2198.6</v>
      </c>
      <c r="BN133" s="78">
        <f t="shared" si="272"/>
        <v>2946.2000000000007</v>
      </c>
      <c r="BO133" s="78">
        <f t="shared" si="272"/>
        <v>3458.000000000001</v>
      </c>
      <c r="BP133" s="78">
        <f t="shared" si="272"/>
        <v>1493.4999999999998</v>
      </c>
      <c r="BQ133" s="78">
        <f t="shared" si="272"/>
        <v>1244.1999999999998</v>
      </c>
      <c r="BR133" s="78">
        <f t="shared" si="272"/>
        <v>1514.5</v>
      </c>
      <c r="BS133" s="78">
        <f t="shared" si="272"/>
        <v>1508.6</v>
      </c>
      <c r="BT133" s="79">
        <f t="shared" si="272"/>
        <v>1613.3999999999999</v>
      </c>
      <c r="BU133" s="79">
        <f t="shared" si="272"/>
        <v>1853.1</v>
      </c>
      <c r="BV133" s="79">
        <f t="shared" si="272"/>
        <v>2185.8</v>
      </c>
      <c r="BW133" s="78">
        <f t="shared" si="272"/>
        <v>1473.9</v>
      </c>
      <c r="BX133" s="78">
        <f t="shared" si="272"/>
        <v>1487.4000000000003</v>
      </c>
      <c r="BY133" s="78">
        <f t="shared" si="272"/>
        <v>1457.6000000000001</v>
      </c>
      <c r="BZ133" s="78">
        <f t="shared" si="272"/>
        <v>1600.6000000000001</v>
      </c>
      <c r="CA133" s="78">
        <f t="shared" si="272"/>
        <v>1731.8</v>
      </c>
      <c r="CB133" s="78">
        <f t="shared" si="272"/>
        <v>1767.1000000000001</v>
      </c>
      <c r="CC133" s="78">
        <f t="shared" si="272"/>
        <v>1546.2</v>
      </c>
      <c r="CD133" s="78">
        <f t="shared" si="272"/>
        <v>1458.9</v>
      </c>
      <c r="CE133" s="78">
        <f t="shared" si="272"/>
        <v>1504.4000000000003</v>
      </c>
      <c r="CF133" s="78">
        <f t="shared" si="272"/>
        <v>1217.0000000000002</v>
      </c>
      <c r="CG133" s="78">
        <f t="shared" si="272"/>
        <v>1014.7999999999998</v>
      </c>
      <c r="CH133" s="78">
        <f t="shared" si="272"/>
        <v>1464.3</v>
      </c>
      <c r="CI133" s="78">
        <f t="shared" si="272"/>
        <v>1869.8000000000002</v>
      </c>
      <c r="CJ133" s="78">
        <f t="shared" si="272"/>
        <v>1940.3</v>
      </c>
      <c r="CK133" s="78">
        <f t="shared" si="272"/>
        <v>2013.5000000000002</v>
      </c>
      <c r="CL133" s="78">
        <f t="shared" si="272"/>
        <v>2158.5</v>
      </c>
      <c r="CM133" s="78">
        <f t="shared" si="272"/>
        <v>2215.2999999999997</v>
      </c>
      <c r="CN133" s="78">
        <f t="shared" si="272"/>
        <v>2261.4</v>
      </c>
      <c r="CO133" s="78">
        <f t="shared" si="272"/>
        <v>2728.8</v>
      </c>
      <c r="CP133" s="78">
        <f t="shared" si="272"/>
        <v>1561.7000000000003</v>
      </c>
      <c r="CQ133" s="78">
        <f t="shared" si="272"/>
        <v>1585.3000000000002</v>
      </c>
      <c r="CR133" s="78">
        <f t="shared" si="272"/>
        <v>1460.4</v>
      </c>
      <c r="CS133" s="78">
        <f t="shared" si="272"/>
        <v>1385.1</v>
      </c>
      <c r="CT133" s="78">
        <f t="shared" si="272"/>
        <v>1344.8</v>
      </c>
      <c r="CU133" s="78">
        <f t="shared" si="272"/>
        <v>1480.8999999999999</v>
      </c>
      <c r="CV133" s="78">
        <f aca="true" t="shared" si="273" ref="CV133:FH133">CV8+CV11+CV14+CV17+CV20+CV23+CV26+CV29+CV32+CV35+CV38+CV41+CV44+CV47+CV50+CV53+CV56+CV59+CV62+CV65+CV68+CV71+CV74+CV77+CV80+CV92+CV95+CV98+CV119+CV122+CV125+CV128</f>
        <v>1648.2000000000003</v>
      </c>
      <c r="CW133" s="78">
        <f t="shared" si="273"/>
        <v>1553.3000000000002</v>
      </c>
      <c r="CX133" s="78">
        <f t="shared" si="273"/>
        <v>2142</v>
      </c>
      <c r="CY133" s="78">
        <f t="shared" si="273"/>
        <v>2142</v>
      </c>
      <c r="CZ133" s="78">
        <f t="shared" si="273"/>
        <v>1759.5</v>
      </c>
      <c r="DA133" s="78">
        <f t="shared" si="273"/>
        <v>1943.5</v>
      </c>
      <c r="DB133" s="78">
        <f t="shared" si="273"/>
        <v>1683.1</v>
      </c>
      <c r="DC133" s="78">
        <f t="shared" si="273"/>
        <v>1688.7</v>
      </c>
      <c r="DD133" s="78">
        <f t="shared" si="273"/>
        <v>1338.7999999999997</v>
      </c>
      <c r="DE133" s="78">
        <f t="shared" si="273"/>
        <v>1356.7</v>
      </c>
      <c r="DF133" s="78">
        <f t="shared" si="273"/>
        <v>1383.7</v>
      </c>
      <c r="DG133" s="78">
        <f t="shared" si="273"/>
        <v>1278.4</v>
      </c>
      <c r="DH133" s="78">
        <f t="shared" si="273"/>
        <v>1586.0000000000002</v>
      </c>
      <c r="DI133" s="78">
        <f t="shared" si="273"/>
        <v>1601.2</v>
      </c>
      <c r="DJ133" s="78">
        <f t="shared" si="273"/>
        <v>1724.2</v>
      </c>
      <c r="DK133" s="78">
        <f t="shared" si="273"/>
        <v>2410.1999999999994</v>
      </c>
      <c r="DL133" s="78">
        <f t="shared" si="273"/>
        <v>2466.2999999999997</v>
      </c>
      <c r="DM133" s="78">
        <f t="shared" si="273"/>
        <v>2841.4999999999995</v>
      </c>
      <c r="DN133" s="78">
        <f t="shared" si="273"/>
        <v>3020.8999999999996</v>
      </c>
      <c r="DO133" s="78">
        <f t="shared" si="273"/>
        <v>3048.3999999999996</v>
      </c>
      <c r="DP133" s="78">
        <f t="shared" si="273"/>
        <v>1806.9</v>
      </c>
      <c r="DQ133" s="78">
        <f t="shared" si="273"/>
        <v>1080.7</v>
      </c>
      <c r="DR133" s="78">
        <f t="shared" si="273"/>
        <v>925.5999999999999</v>
      </c>
      <c r="DS133" s="78">
        <f t="shared" si="273"/>
        <v>1406.6000000000004</v>
      </c>
      <c r="DT133" s="78">
        <f t="shared" si="273"/>
        <v>1213.7</v>
      </c>
      <c r="DU133" s="78">
        <f t="shared" si="273"/>
        <v>1411.6000000000001</v>
      </c>
      <c r="DV133" s="78">
        <f t="shared" si="273"/>
        <v>1097.4</v>
      </c>
      <c r="DW133" s="78">
        <f t="shared" si="273"/>
        <v>1488.5</v>
      </c>
      <c r="DX133" s="78">
        <f t="shared" si="273"/>
        <v>1402.3000000000004</v>
      </c>
      <c r="DY133" s="78">
        <f t="shared" si="273"/>
        <v>1458.0000000000002</v>
      </c>
      <c r="DZ133" s="78">
        <f t="shared" si="273"/>
        <v>1518.7000000000003</v>
      </c>
      <c r="EA133" s="78">
        <f t="shared" si="273"/>
        <v>1557.9000000000003</v>
      </c>
      <c r="EB133" s="78">
        <f t="shared" si="273"/>
        <v>1775.4</v>
      </c>
      <c r="EC133" s="78">
        <f t="shared" si="273"/>
        <v>1545.8000000000002</v>
      </c>
      <c r="ED133" s="78">
        <f t="shared" si="273"/>
        <v>1269.8</v>
      </c>
      <c r="EE133" s="78">
        <f t="shared" si="273"/>
        <v>1625.0000000000002</v>
      </c>
      <c r="EF133" s="78">
        <f t="shared" si="273"/>
        <v>1496.3</v>
      </c>
      <c r="EG133" s="78">
        <f t="shared" si="273"/>
        <v>1493.1</v>
      </c>
      <c r="EH133" s="78">
        <f t="shared" si="273"/>
        <v>1557.8</v>
      </c>
      <c r="EI133" s="78">
        <f t="shared" si="273"/>
        <v>1446.9</v>
      </c>
      <c r="EJ133" s="78">
        <f t="shared" si="273"/>
        <v>1474.7999999999997</v>
      </c>
      <c r="EK133" s="78">
        <f t="shared" si="273"/>
        <v>2244.100000000001</v>
      </c>
      <c r="EL133" s="78">
        <f t="shared" si="273"/>
        <v>2388.9000000000005</v>
      </c>
      <c r="EM133" s="78">
        <f t="shared" si="273"/>
        <v>2397.3000000000006</v>
      </c>
      <c r="EN133" s="78">
        <f t="shared" si="273"/>
        <v>2829</v>
      </c>
      <c r="EO133" s="78">
        <f t="shared" si="273"/>
        <v>2948.5</v>
      </c>
      <c r="EP133" s="78">
        <f t="shared" si="273"/>
        <v>1158.4</v>
      </c>
      <c r="EQ133" s="78">
        <f t="shared" si="273"/>
        <v>1455.5999999999997</v>
      </c>
      <c r="ER133" s="78">
        <f t="shared" si="273"/>
        <v>1579.3000000000002</v>
      </c>
      <c r="ES133" s="78">
        <f t="shared" si="273"/>
        <v>1579.3000000000002</v>
      </c>
      <c r="ET133" s="78">
        <f t="shared" si="273"/>
        <v>1328.4999999999998</v>
      </c>
      <c r="EU133" s="78">
        <f t="shared" si="273"/>
        <v>1372.2999999999997</v>
      </c>
      <c r="EV133" s="78">
        <f t="shared" si="273"/>
        <v>2009.4999999999998</v>
      </c>
      <c r="EW133" s="78">
        <f t="shared" si="273"/>
        <v>1911.3</v>
      </c>
      <c r="EX133" s="78">
        <f t="shared" si="273"/>
        <v>1618.8</v>
      </c>
      <c r="EY133" s="78">
        <f t="shared" si="273"/>
        <v>1651.3999999999999</v>
      </c>
      <c r="EZ133" s="78">
        <f t="shared" si="273"/>
        <v>1605.6000000000001</v>
      </c>
      <c r="FA133" s="78">
        <f t="shared" si="273"/>
        <v>1103.0999999999997</v>
      </c>
      <c r="FB133" s="78">
        <f t="shared" si="273"/>
        <v>1462.4</v>
      </c>
      <c r="FC133" s="78">
        <f t="shared" si="273"/>
        <v>1356.6</v>
      </c>
      <c r="FD133" s="78">
        <f t="shared" si="273"/>
        <v>1209.5999999999997</v>
      </c>
      <c r="FE133" s="78">
        <f t="shared" si="273"/>
        <v>1210.9999999999998</v>
      </c>
      <c r="FF133" s="78">
        <f t="shared" si="273"/>
        <v>1334.3</v>
      </c>
      <c r="FG133" s="78">
        <f t="shared" si="273"/>
        <v>1447.8999999999996</v>
      </c>
      <c r="FH133" s="78">
        <f t="shared" si="273"/>
        <v>1424.7999999999997</v>
      </c>
      <c r="FI133" s="78">
        <f aca="true" t="shared" si="274" ref="FI133:GO133">FI8+FI11+FI14+FI17+FI20+FI23+FI26+FI29+FI32+FI35+FI38+FI41+FI44+FI47+FI50+FI53+FI56+FI59+FI62+FI65+FI68+FI71+FI74+FI77+FI80+FI92+FI95+FI98+FI119+FI122+FI125+FI128</f>
        <v>1362.3999999999999</v>
      </c>
      <c r="FJ133" s="78">
        <f t="shared" si="274"/>
        <v>1422.2</v>
      </c>
      <c r="FK133" s="78">
        <f t="shared" si="274"/>
        <v>1427.3</v>
      </c>
      <c r="FL133" s="78">
        <f t="shared" si="274"/>
        <v>1765.6999999999996</v>
      </c>
      <c r="FM133" s="78">
        <f t="shared" si="274"/>
        <v>2062.9999999999995</v>
      </c>
      <c r="FN133" s="78">
        <f t="shared" si="274"/>
        <v>2378.8999999999996</v>
      </c>
      <c r="FO133" s="78">
        <f t="shared" si="274"/>
        <v>2867.7</v>
      </c>
      <c r="FP133" s="78">
        <f t="shared" si="274"/>
        <v>3111.6000000000004</v>
      </c>
      <c r="FQ133" s="78">
        <f t="shared" si="274"/>
        <v>3161.7000000000007</v>
      </c>
      <c r="FR133" s="78">
        <f t="shared" si="274"/>
        <v>1446.1000000000004</v>
      </c>
      <c r="FS133" s="78">
        <f t="shared" si="274"/>
        <v>1600.4</v>
      </c>
      <c r="FT133" s="78">
        <f t="shared" si="274"/>
        <v>1421.9</v>
      </c>
      <c r="FU133" s="78">
        <f t="shared" si="274"/>
        <v>1225.8</v>
      </c>
      <c r="FV133" s="78">
        <f t="shared" si="274"/>
        <v>1441.2000000000003</v>
      </c>
      <c r="FW133" s="78">
        <f t="shared" si="274"/>
        <v>1441.2000000000003</v>
      </c>
      <c r="FX133" s="78">
        <f t="shared" si="274"/>
        <v>1231.2</v>
      </c>
      <c r="FY133" s="78">
        <f t="shared" si="274"/>
        <v>1068.2</v>
      </c>
      <c r="FZ133" s="78">
        <f t="shared" si="274"/>
        <v>805.2</v>
      </c>
      <c r="GA133" s="78">
        <f t="shared" si="274"/>
        <v>641.7999999999998</v>
      </c>
      <c r="GB133" s="78">
        <f t="shared" si="274"/>
        <v>501.6</v>
      </c>
      <c r="GC133" s="78">
        <f t="shared" si="274"/>
        <v>501.6</v>
      </c>
      <c r="GD133" s="78">
        <f t="shared" si="274"/>
        <v>471.6</v>
      </c>
      <c r="GE133" s="78">
        <f t="shared" si="274"/>
        <v>441.6</v>
      </c>
      <c r="GF133" s="78">
        <f t="shared" si="274"/>
        <v>411.6</v>
      </c>
      <c r="GG133" s="78">
        <f t="shared" si="274"/>
        <v>382.20000000000005</v>
      </c>
      <c r="GH133" s="78">
        <f t="shared" si="274"/>
        <v>382.20000000000005</v>
      </c>
      <c r="GI133" s="78">
        <f t="shared" si="274"/>
        <v>382.20000000000005</v>
      </c>
      <c r="GJ133" s="78">
        <f t="shared" si="274"/>
        <v>382.20000000000005</v>
      </c>
      <c r="GK133" s="78">
        <f t="shared" si="274"/>
        <v>382.20000000000005</v>
      </c>
      <c r="GL133" s="78">
        <f t="shared" si="274"/>
        <v>382.20000000000005</v>
      </c>
      <c r="GM133" s="78">
        <f t="shared" si="274"/>
        <v>382.20000000000005</v>
      </c>
      <c r="GN133" s="78">
        <f t="shared" si="274"/>
        <v>382.20000000000005</v>
      </c>
      <c r="GO133" s="78">
        <f t="shared" si="274"/>
        <v>382.20000000000005</v>
      </c>
    </row>
    <row r="134" spans="1:197" ht="26.25">
      <c r="A134" s="4"/>
      <c r="B134" s="4"/>
      <c r="C134" s="10" t="s">
        <v>267</v>
      </c>
      <c r="D134" s="80">
        <v>227.4</v>
      </c>
      <c r="E134" s="80">
        <f>E130-D132</f>
        <v>26.5</v>
      </c>
      <c r="F134" s="80">
        <f aca="true" t="shared" si="275" ref="F134:AI134">F130-E132</f>
        <v>236.20000000000027</v>
      </c>
      <c r="G134" s="80">
        <f t="shared" si="275"/>
        <v>356.4999999999982</v>
      </c>
      <c r="H134" s="80">
        <f t="shared" si="275"/>
        <v>182.80000000000018</v>
      </c>
      <c r="I134" s="80">
        <f t="shared" si="275"/>
        <v>307.30000000000064</v>
      </c>
      <c r="J134" s="80">
        <f t="shared" si="275"/>
        <v>261.39999999999964</v>
      </c>
      <c r="K134" s="80">
        <f t="shared" si="275"/>
        <v>0</v>
      </c>
      <c r="L134" s="80">
        <f t="shared" si="275"/>
        <v>327</v>
      </c>
      <c r="M134" s="80">
        <f t="shared" si="275"/>
        <v>291.2000000000007</v>
      </c>
      <c r="N134" s="80">
        <f t="shared" si="275"/>
        <v>402.49999999999955</v>
      </c>
      <c r="O134" s="80">
        <f t="shared" si="275"/>
        <v>144.89999999999964</v>
      </c>
      <c r="P134" s="80">
        <f t="shared" si="275"/>
        <v>171.70000000000118</v>
      </c>
      <c r="Q134" s="80">
        <f t="shared" si="275"/>
        <v>0</v>
      </c>
      <c r="R134" s="80">
        <f t="shared" si="275"/>
        <v>529.8000000000006</v>
      </c>
      <c r="S134" s="80">
        <f t="shared" si="275"/>
        <v>54.69999999999936</v>
      </c>
      <c r="T134" s="80">
        <f t="shared" si="275"/>
        <v>370.6999999999998</v>
      </c>
      <c r="U134" s="80">
        <f t="shared" si="275"/>
        <v>102.30000000000041</v>
      </c>
      <c r="V134" s="80">
        <f t="shared" si="275"/>
        <v>126.30000000000018</v>
      </c>
      <c r="W134" s="80">
        <f t="shared" si="275"/>
        <v>0</v>
      </c>
      <c r="X134" s="80">
        <f t="shared" si="275"/>
        <v>241.29999999999973</v>
      </c>
      <c r="Y134" s="80">
        <f t="shared" si="275"/>
        <v>242.70000000000027</v>
      </c>
      <c r="Z134" s="80">
        <f t="shared" si="275"/>
        <v>419.89999999999986</v>
      </c>
      <c r="AA134" s="80">
        <f t="shared" si="275"/>
        <v>315.39999999999986</v>
      </c>
      <c r="AB134" s="80">
        <f t="shared" si="275"/>
        <v>184.9000000000001</v>
      </c>
      <c r="AC134" s="80">
        <f t="shared" si="275"/>
        <v>0</v>
      </c>
      <c r="AD134" s="80">
        <f t="shared" si="275"/>
        <v>311.3000000000004</v>
      </c>
      <c r="AE134" s="80">
        <f t="shared" si="275"/>
        <v>296.29999999999995</v>
      </c>
      <c r="AF134" s="80">
        <f t="shared" si="275"/>
        <v>343.7000000000003</v>
      </c>
      <c r="AG134" s="80">
        <f t="shared" si="275"/>
        <v>47.899999999999864</v>
      </c>
      <c r="AH134" s="80">
        <f t="shared" si="275"/>
        <v>195.60000000000014</v>
      </c>
      <c r="AI134" s="80">
        <f t="shared" si="275"/>
        <v>0</v>
      </c>
      <c r="AJ134" s="80">
        <f aca="true" t="shared" si="276" ref="AJ134:BO134">AJ130-AI132</f>
        <v>442.40000000000055</v>
      </c>
      <c r="AK134" s="80">
        <f t="shared" si="276"/>
        <v>535.9999999999998</v>
      </c>
      <c r="AL134" s="80">
        <f t="shared" si="276"/>
        <v>250.9000000000001</v>
      </c>
      <c r="AM134" s="80">
        <f t="shared" si="276"/>
        <v>49.399999999999636</v>
      </c>
      <c r="AN134" s="80">
        <f t="shared" si="276"/>
        <v>762.6000000000004</v>
      </c>
      <c r="AO134" s="80">
        <f t="shared" si="276"/>
        <v>0</v>
      </c>
      <c r="AP134" s="80">
        <f t="shared" si="276"/>
        <v>533.6999999999998</v>
      </c>
      <c r="AQ134" s="80">
        <f t="shared" si="276"/>
        <v>205.99999999999977</v>
      </c>
      <c r="AR134" s="80">
        <f t="shared" si="276"/>
        <v>261.0999999999999</v>
      </c>
      <c r="AS134" s="80">
        <f t="shared" si="276"/>
        <v>54.59999999999968</v>
      </c>
      <c r="AT134" s="80">
        <f t="shared" si="276"/>
        <v>276.9000000000001</v>
      </c>
      <c r="AU134" s="80">
        <f t="shared" si="276"/>
        <v>74.29999999999973</v>
      </c>
      <c r="AV134" s="80">
        <f t="shared" si="276"/>
        <v>409.7000000000003</v>
      </c>
      <c r="AW134" s="80">
        <f t="shared" si="276"/>
        <v>557.3999999999999</v>
      </c>
      <c r="AX134" s="80">
        <f t="shared" si="276"/>
        <v>209.29999999999995</v>
      </c>
      <c r="AY134" s="80">
        <f t="shared" si="276"/>
        <v>185.39999999999986</v>
      </c>
      <c r="AZ134" s="80">
        <f t="shared" si="276"/>
        <v>145.00000000000023</v>
      </c>
      <c r="BA134" s="80">
        <f t="shared" si="276"/>
        <v>1.800000000000182</v>
      </c>
      <c r="BB134" s="80">
        <f t="shared" si="276"/>
        <v>421.70000000000005</v>
      </c>
      <c r="BC134" s="80">
        <f t="shared" si="276"/>
        <v>588.7999999999997</v>
      </c>
      <c r="BD134" s="80">
        <f t="shared" si="276"/>
        <v>193.0999999999999</v>
      </c>
      <c r="BE134" s="80">
        <f t="shared" si="276"/>
        <v>42.40000000000009</v>
      </c>
      <c r="BF134" s="80">
        <f t="shared" si="276"/>
        <v>166.39999999999986</v>
      </c>
      <c r="BG134" s="80">
        <f t="shared" si="276"/>
        <v>2.6000000000001364</v>
      </c>
      <c r="BH134" s="80">
        <f t="shared" si="276"/>
        <v>104.89999999999986</v>
      </c>
      <c r="BI134" s="80">
        <f t="shared" si="276"/>
        <v>193.70000000000027</v>
      </c>
      <c r="BJ134" s="80">
        <f t="shared" si="276"/>
        <v>603.5999999999999</v>
      </c>
      <c r="BK134" s="80">
        <f t="shared" si="276"/>
        <v>306.1000000000008</v>
      </c>
      <c r="BL134" s="80">
        <f t="shared" si="276"/>
        <v>96.90000000000009</v>
      </c>
      <c r="BM134" s="80">
        <f t="shared" si="276"/>
        <v>56.599999999999454</v>
      </c>
      <c r="BN134" s="80">
        <f t="shared" si="276"/>
        <v>747.6000000000008</v>
      </c>
      <c r="BO134" s="80">
        <f t="shared" si="276"/>
        <v>511.8000000000002</v>
      </c>
      <c r="BP134" s="80">
        <f aca="true" t="shared" si="277" ref="BP134:CU134">BP130-BO132</f>
        <v>373.89999999999964</v>
      </c>
      <c r="BQ134" s="80">
        <f t="shared" si="277"/>
        <v>54.099999999998545</v>
      </c>
      <c r="BR134" s="80">
        <f t="shared" si="277"/>
        <v>477.29999999999995</v>
      </c>
      <c r="BS134" s="80">
        <f t="shared" si="277"/>
        <v>339.0999999999997</v>
      </c>
      <c r="BT134" s="81">
        <f t="shared" si="277"/>
        <v>104.79999999999995</v>
      </c>
      <c r="BU134" s="81">
        <f t="shared" si="277"/>
        <v>239.70000000000005</v>
      </c>
      <c r="BV134" s="81">
        <f t="shared" si="277"/>
        <v>332.7000000000007</v>
      </c>
      <c r="BW134" s="80">
        <f t="shared" si="277"/>
        <v>37.29999999999973</v>
      </c>
      <c r="BX134" s="80">
        <f t="shared" si="277"/>
        <v>264.70000000000005</v>
      </c>
      <c r="BY134" s="80">
        <f t="shared" si="277"/>
        <v>76.59999999999991</v>
      </c>
      <c r="BZ134" s="80">
        <f t="shared" si="277"/>
        <v>586.700000000001</v>
      </c>
      <c r="CA134" s="80">
        <f t="shared" si="277"/>
        <v>478.7199999999998</v>
      </c>
      <c r="CB134" s="80">
        <f t="shared" si="277"/>
        <v>222.09999999999968</v>
      </c>
      <c r="CC134" s="80">
        <f t="shared" si="277"/>
        <v>54.899999999999864</v>
      </c>
      <c r="CD134" s="80">
        <f t="shared" si="277"/>
        <v>170.4000000000001</v>
      </c>
      <c r="CE134" s="80">
        <f t="shared" si="277"/>
        <v>45.50000000000023</v>
      </c>
      <c r="CF134" s="80">
        <f t="shared" si="277"/>
        <v>255.19999999999982</v>
      </c>
      <c r="CG134" s="80">
        <f t="shared" si="277"/>
        <v>51</v>
      </c>
      <c r="CH134" s="80">
        <f t="shared" si="277"/>
        <v>771.6999999999998</v>
      </c>
      <c r="CI134" s="80">
        <f t="shared" si="277"/>
        <v>408.39999999999986</v>
      </c>
      <c r="CJ134" s="80">
        <f t="shared" si="277"/>
        <v>503.2999999999997</v>
      </c>
      <c r="CK134" s="80">
        <f>CK130-CJ132</f>
        <v>73.20000000000073</v>
      </c>
      <c r="CL134" s="80">
        <f t="shared" si="277"/>
        <v>144.99999999999955</v>
      </c>
      <c r="CM134" s="80">
        <f t="shared" si="277"/>
        <v>56.79999999999973</v>
      </c>
      <c r="CN134" s="80">
        <f t="shared" si="277"/>
        <v>51.000000000000455</v>
      </c>
      <c r="CO134" s="80">
        <f t="shared" si="277"/>
        <v>513.1999999999998</v>
      </c>
      <c r="CP134" s="80">
        <f t="shared" si="277"/>
        <v>946.5499999999997</v>
      </c>
      <c r="CQ134" s="80">
        <f t="shared" si="277"/>
        <v>104.50000000000023</v>
      </c>
      <c r="CR134" s="80">
        <f t="shared" si="277"/>
        <v>154.30000000000018</v>
      </c>
      <c r="CS134" s="80">
        <f t="shared" si="277"/>
        <v>424.2999999999997</v>
      </c>
      <c r="CT134" s="80">
        <f t="shared" si="277"/>
        <v>183.29999999999973</v>
      </c>
      <c r="CU134" s="80">
        <f t="shared" si="277"/>
        <v>374.3000000000002</v>
      </c>
      <c r="CV134" s="80">
        <f aca="true" t="shared" si="278" ref="CV134:EA134">CV130-CU132</f>
        <v>456.8999999999994</v>
      </c>
      <c r="CW134" s="80">
        <f t="shared" si="278"/>
        <v>60.000000000000455</v>
      </c>
      <c r="CX134" s="80">
        <f t="shared" si="278"/>
        <v>610.5000000000002</v>
      </c>
      <c r="CY134" s="80">
        <f t="shared" si="278"/>
        <v>0</v>
      </c>
      <c r="CZ134" s="80">
        <f t="shared" si="278"/>
        <v>386.2000000000003</v>
      </c>
      <c r="DA134" s="80">
        <f t="shared" si="278"/>
        <v>479.19999999999936</v>
      </c>
      <c r="DB134" s="80">
        <f t="shared" si="278"/>
        <v>69.19999999999982</v>
      </c>
      <c r="DC134" s="80">
        <f t="shared" si="278"/>
        <v>9.500000000000227</v>
      </c>
      <c r="DD134" s="80">
        <f t="shared" si="278"/>
        <v>118.49999999999977</v>
      </c>
      <c r="DE134" s="80">
        <f t="shared" si="278"/>
        <v>344.1999999999998</v>
      </c>
      <c r="DF134" s="80">
        <f t="shared" si="278"/>
        <v>481.0999999999999</v>
      </c>
      <c r="DG134" s="80">
        <f t="shared" si="278"/>
        <v>146.60000000000036</v>
      </c>
      <c r="DH134" s="80">
        <f t="shared" si="278"/>
        <v>611.8999999999999</v>
      </c>
      <c r="DI134" s="80">
        <f t="shared" si="278"/>
        <v>50.200000000000045</v>
      </c>
      <c r="DJ134" s="80">
        <f t="shared" si="278"/>
        <v>202.41999999999985</v>
      </c>
      <c r="DK134" s="80">
        <f t="shared" si="278"/>
        <v>687.4999999999998</v>
      </c>
      <c r="DL134" s="80">
        <f t="shared" si="278"/>
        <v>63.900000000000546</v>
      </c>
      <c r="DM134" s="80">
        <f t="shared" si="278"/>
        <v>390.1999999999998</v>
      </c>
      <c r="DN134" s="80">
        <f t="shared" si="278"/>
        <v>224.80000000000018</v>
      </c>
      <c r="DO134" s="80">
        <f t="shared" si="278"/>
        <v>48.40000000000009</v>
      </c>
      <c r="DP134" s="80">
        <f t="shared" si="278"/>
        <v>213.32000000000016</v>
      </c>
      <c r="DQ134" s="80">
        <f t="shared" si="278"/>
        <v>37.599999999999454</v>
      </c>
      <c r="DR134" s="80">
        <f t="shared" si="278"/>
        <v>35.80000000000018</v>
      </c>
      <c r="DS134" s="80">
        <f t="shared" si="278"/>
        <v>849.1000000000004</v>
      </c>
      <c r="DT134" s="80">
        <f t="shared" si="278"/>
        <v>182.0999999999999</v>
      </c>
      <c r="DU134" s="80">
        <f t="shared" si="278"/>
        <v>197.89999999999986</v>
      </c>
      <c r="DV134" s="80">
        <f t="shared" si="278"/>
        <v>46.90000000000009</v>
      </c>
      <c r="DW134" s="80">
        <f t="shared" si="278"/>
        <v>650.6999999999994</v>
      </c>
      <c r="DX134" s="80">
        <f t="shared" si="278"/>
        <v>202.50000000000023</v>
      </c>
      <c r="DY134" s="80">
        <f t="shared" si="278"/>
        <v>362.60000000000036</v>
      </c>
      <c r="DZ134" s="80">
        <f t="shared" si="278"/>
        <v>364.7999999999997</v>
      </c>
      <c r="EA134" s="80">
        <f t="shared" si="278"/>
        <v>39.200000000000045</v>
      </c>
      <c r="EB134" s="80">
        <f aca="true" t="shared" si="279" ref="EB134:FH134">EB130-EA132</f>
        <v>617.3000000000004</v>
      </c>
      <c r="EC134" s="80">
        <f t="shared" si="279"/>
        <v>0</v>
      </c>
      <c r="ED134" s="80">
        <f t="shared" si="279"/>
        <v>19</v>
      </c>
      <c r="EE134" s="80">
        <f t="shared" si="279"/>
        <v>605.0999999999999</v>
      </c>
      <c r="EF134" s="80">
        <f t="shared" si="279"/>
        <v>210.70000000000027</v>
      </c>
      <c r="EG134" s="80">
        <f t="shared" si="279"/>
        <v>21.799999999999727</v>
      </c>
      <c r="EH134" s="80">
        <f t="shared" si="279"/>
        <v>226.70000000000005</v>
      </c>
      <c r="EI134" s="80">
        <f t="shared" si="279"/>
        <v>18.700000000000273</v>
      </c>
      <c r="EJ134" s="80">
        <f t="shared" si="279"/>
        <v>103.59999999999991</v>
      </c>
      <c r="EK134" s="80">
        <f t="shared" si="279"/>
        <v>807.4000000000003</v>
      </c>
      <c r="EL134" s="80">
        <f t="shared" si="279"/>
        <v>174</v>
      </c>
      <c r="EM134" s="80">
        <f t="shared" si="279"/>
        <v>8.400000000000091</v>
      </c>
      <c r="EN134" s="80">
        <f t="shared" si="279"/>
        <v>590.1999999999994</v>
      </c>
      <c r="EO134" s="80">
        <f t="shared" si="279"/>
        <v>123.39999999999964</v>
      </c>
      <c r="EP134" s="80">
        <f t="shared" si="279"/>
        <v>296.3000000000002</v>
      </c>
      <c r="EQ134" s="80">
        <f t="shared" si="279"/>
        <v>522.2999999999997</v>
      </c>
      <c r="ER134" s="80">
        <f>ER130-EQ132</f>
        <v>438.2999999999993</v>
      </c>
      <c r="ES134" s="80">
        <f>ES130-ER132</f>
        <v>245.00000000000023</v>
      </c>
      <c r="ET134" s="80">
        <f>ET130-ES132</f>
        <v>150.89999999999964</v>
      </c>
      <c r="EU134" s="80">
        <f t="shared" si="279"/>
        <v>268.8000000000004</v>
      </c>
      <c r="EV134" s="80">
        <f t="shared" si="279"/>
        <v>907.5000000000005</v>
      </c>
      <c r="EW134" s="80">
        <f t="shared" si="279"/>
        <v>276.72000000000025</v>
      </c>
      <c r="EX134" s="80">
        <f t="shared" si="279"/>
        <v>95.09999999999945</v>
      </c>
      <c r="EY134" s="80">
        <f t="shared" si="279"/>
        <v>32.59999999999968</v>
      </c>
      <c r="EZ134" s="80">
        <f t="shared" si="279"/>
        <v>376.0999999999997</v>
      </c>
      <c r="FA134" s="80">
        <f t="shared" si="279"/>
        <v>4.600000000000364</v>
      </c>
      <c r="FB134" s="80">
        <f t="shared" si="279"/>
        <v>596.5</v>
      </c>
      <c r="FC134" s="80">
        <f t="shared" si="279"/>
        <v>80.80000000000018</v>
      </c>
      <c r="FD134" s="80">
        <f t="shared" si="279"/>
        <v>201.20000000000027</v>
      </c>
      <c r="FE134" s="80">
        <f t="shared" si="279"/>
        <v>1.3999999999996362</v>
      </c>
      <c r="FF134" s="80">
        <f t="shared" si="279"/>
        <v>584.5</v>
      </c>
      <c r="FG134" s="80">
        <f t="shared" si="279"/>
        <v>334.8000000000002</v>
      </c>
      <c r="FH134" s="80">
        <f t="shared" si="279"/>
        <v>273.1999999999998</v>
      </c>
      <c r="FI134" s="80">
        <f aca="true" t="shared" si="280" ref="FI134:GO134">FI130-FH132</f>
        <v>183.50000000000045</v>
      </c>
      <c r="FJ134" s="80">
        <f t="shared" si="280"/>
        <v>59.79999999999973</v>
      </c>
      <c r="FK134" s="80">
        <f t="shared" si="280"/>
        <v>7.199999999999818</v>
      </c>
      <c r="FL134" s="80">
        <f t="shared" si="280"/>
        <v>388.39999999999964</v>
      </c>
      <c r="FM134" s="80">
        <f t="shared" si="280"/>
        <v>297.39999999999964</v>
      </c>
      <c r="FN134" s="80">
        <f t="shared" si="280"/>
        <v>315.9000000000001</v>
      </c>
      <c r="FO134" s="80">
        <f t="shared" si="280"/>
        <v>488.8000000000002</v>
      </c>
      <c r="FP134" s="80">
        <f t="shared" si="280"/>
        <v>243.90000000000055</v>
      </c>
      <c r="FQ134" s="80">
        <f t="shared" si="280"/>
        <v>50.100000000000364</v>
      </c>
      <c r="FR134" s="80">
        <f t="shared" si="280"/>
        <v>508.3000000000002</v>
      </c>
      <c r="FS134" s="80">
        <f t="shared" si="280"/>
        <v>394.99999999999955</v>
      </c>
      <c r="FT134" s="80">
        <f t="shared" si="280"/>
        <v>47.49999999999977</v>
      </c>
      <c r="FU134" s="80">
        <f t="shared" si="280"/>
        <v>0</v>
      </c>
      <c r="FV134" s="80">
        <f t="shared" si="280"/>
        <v>385.4000000000001</v>
      </c>
      <c r="FW134" s="80">
        <f t="shared" si="280"/>
        <v>0</v>
      </c>
      <c r="FX134" s="80">
        <f t="shared" si="280"/>
        <v>183.32000000000016</v>
      </c>
      <c r="FY134" s="80">
        <f t="shared" si="280"/>
        <v>127</v>
      </c>
      <c r="FZ134" s="80">
        <f t="shared" si="280"/>
        <v>0</v>
      </c>
      <c r="GA134" s="80">
        <f t="shared" si="280"/>
        <v>58.599999999999454</v>
      </c>
      <c r="GB134" s="80">
        <f t="shared" si="280"/>
        <v>0</v>
      </c>
      <c r="GC134" s="80">
        <f t="shared" si="280"/>
        <v>0</v>
      </c>
      <c r="GD134" s="80">
        <f t="shared" si="280"/>
        <v>0</v>
      </c>
      <c r="GE134" s="80">
        <f t="shared" si="280"/>
        <v>0</v>
      </c>
      <c r="GF134" s="80">
        <f t="shared" si="280"/>
        <v>0</v>
      </c>
      <c r="GG134" s="80">
        <f t="shared" si="280"/>
        <v>17.799999999999955</v>
      </c>
      <c r="GH134" s="80">
        <f t="shared" si="280"/>
        <v>0</v>
      </c>
      <c r="GI134" s="80">
        <f t="shared" si="280"/>
        <v>0</v>
      </c>
      <c r="GJ134" s="80">
        <f t="shared" si="280"/>
        <v>0</v>
      </c>
      <c r="GK134" s="80">
        <f t="shared" si="280"/>
        <v>0</v>
      </c>
      <c r="GL134" s="80">
        <f t="shared" si="280"/>
        <v>0</v>
      </c>
      <c r="GM134" s="80">
        <f t="shared" si="280"/>
        <v>0</v>
      </c>
      <c r="GN134" s="80">
        <f t="shared" si="280"/>
        <v>0</v>
      </c>
      <c r="GO134" s="80">
        <f t="shared" si="280"/>
        <v>26</v>
      </c>
    </row>
    <row r="135" spans="1:3" ht="39.75">
      <c r="A135" s="4"/>
      <c r="B135" s="4"/>
      <c r="C135" s="71" t="s">
        <v>268</v>
      </c>
    </row>
    <row r="136" spans="1:3" ht="28.5" customHeight="1">
      <c r="A136" s="4"/>
      <c r="B136" s="4"/>
      <c r="C136" s="71" t="s">
        <v>269</v>
      </c>
    </row>
    <row r="137" spans="1:197" ht="38.25" customHeight="1">
      <c r="A137" s="4"/>
      <c r="B137" s="4"/>
      <c r="C137" s="75" t="s">
        <v>270</v>
      </c>
      <c r="D137" s="76">
        <v>0</v>
      </c>
      <c r="E137" s="76">
        <f>D137+E136-E135</f>
        <v>0</v>
      </c>
      <c r="F137" s="76">
        <f aca="true" t="shared" si="281" ref="F137:AI137">E137+F136-F135</f>
        <v>0</v>
      </c>
      <c r="G137" s="76">
        <f t="shared" si="281"/>
        <v>0</v>
      </c>
      <c r="H137" s="76">
        <f t="shared" si="281"/>
        <v>0</v>
      </c>
      <c r="I137" s="76">
        <f t="shared" si="281"/>
        <v>0</v>
      </c>
      <c r="J137" s="76">
        <f t="shared" si="281"/>
        <v>0</v>
      </c>
      <c r="K137" s="76">
        <f t="shared" si="281"/>
        <v>0</v>
      </c>
      <c r="L137" s="76">
        <f t="shared" si="281"/>
        <v>0</v>
      </c>
      <c r="M137" s="76">
        <f t="shared" si="281"/>
        <v>0</v>
      </c>
      <c r="N137" s="76">
        <f t="shared" si="281"/>
        <v>0</v>
      </c>
      <c r="O137" s="76">
        <f t="shared" si="281"/>
        <v>0</v>
      </c>
      <c r="P137" s="76">
        <f t="shared" si="281"/>
        <v>0</v>
      </c>
      <c r="Q137" s="76">
        <f t="shared" si="281"/>
        <v>0</v>
      </c>
      <c r="R137" s="76">
        <f t="shared" si="281"/>
        <v>0</v>
      </c>
      <c r="S137" s="76">
        <f t="shared" si="281"/>
        <v>0</v>
      </c>
      <c r="T137" s="76">
        <f t="shared" si="281"/>
        <v>0</v>
      </c>
      <c r="U137" s="76">
        <f t="shared" si="281"/>
        <v>0</v>
      </c>
      <c r="V137" s="76">
        <f t="shared" si="281"/>
        <v>0</v>
      </c>
      <c r="W137" s="76">
        <f t="shared" si="281"/>
        <v>0</v>
      </c>
      <c r="X137" s="76">
        <f t="shared" si="281"/>
        <v>0</v>
      </c>
      <c r="Y137" s="76">
        <f t="shared" si="281"/>
        <v>0</v>
      </c>
      <c r="Z137" s="76">
        <f t="shared" si="281"/>
        <v>0</v>
      </c>
      <c r="AA137" s="76">
        <f t="shared" si="281"/>
        <v>0</v>
      </c>
      <c r="AB137" s="76">
        <f t="shared" si="281"/>
        <v>0</v>
      </c>
      <c r="AC137" s="76">
        <f t="shared" si="281"/>
        <v>0</v>
      </c>
      <c r="AD137" s="76">
        <f t="shared" si="281"/>
        <v>0</v>
      </c>
      <c r="AE137" s="76">
        <f t="shared" si="281"/>
        <v>0</v>
      </c>
      <c r="AF137" s="76">
        <f t="shared" si="281"/>
        <v>0</v>
      </c>
      <c r="AG137" s="76">
        <f t="shared" si="281"/>
        <v>0</v>
      </c>
      <c r="AH137" s="76">
        <f t="shared" si="281"/>
        <v>0</v>
      </c>
      <c r="AI137" s="76">
        <f t="shared" si="281"/>
        <v>0</v>
      </c>
      <c r="AJ137" s="76">
        <f aca="true" t="shared" si="282" ref="AJ137:BO137">AI137+AJ136-AJ135</f>
        <v>0</v>
      </c>
      <c r="AK137" s="76">
        <f t="shared" si="282"/>
        <v>0</v>
      </c>
      <c r="AL137" s="76">
        <f t="shared" si="282"/>
        <v>0</v>
      </c>
      <c r="AM137" s="76">
        <f t="shared" si="282"/>
        <v>0</v>
      </c>
      <c r="AN137" s="76">
        <f t="shared" si="282"/>
        <v>0</v>
      </c>
      <c r="AO137" s="76">
        <f t="shared" si="282"/>
        <v>0</v>
      </c>
      <c r="AP137" s="76">
        <f t="shared" si="282"/>
        <v>0</v>
      </c>
      <c r="AQ137" s="76">
        <f t="shared" si="282"/>
        <v>0</v>
      </c>
      <c r="AR137" s="76">
        <f t="shared" si="282"/>
        <v>0</v>
      </c>
      <c r="AS137" s="76">
        <f t="shared" si="282"/>
        <v>0</v>
      </c>
      <c r="AT137" s="76">
        <f t="shared" si="282"/>
        <v>0</v>
      </c>
      <c r="AU137" s="76">
        <f t="shared" si="282"/>
        <v>0</v>
      </c>
      <c r="AV137" s="76">
        <f t="shared" si="282"/>
        <v>0</v>
      </c>
      <c r="AW137" s="76">
        <f t="shared" si="282"/>
        <v>0</v>
      </c>
      <c r="AX137" s="76">
        <f t="shared" si="282"/>
        <v>0</v>
      </c>
      <c r="AY137" s="76">
        <f t="shared" si="282"/>
        <v>0</v>
      </c>
      <c r="AZ137" s="76">
        <f t="shared" si="282"/>
        <v>0</v>
      </c>
      <c r="BA137" s="76">
        <f t="shared" si="282"/>
        <v>0</v>
      </c>
      <c r="BB137" s="76">
        <f t="shared" si="282"/>
        <v>0</v>
      </c>
      <c r="BC137" s="76">
        <f t="shared" si="282"/>
        <v>0</v>
      </c>
      <c r="BD137" s="76">
        <f t="shared" si="282"/>
        <v>0</v>
      </c>
      <c r="BE137" s="76">
        <f t="shared" si="282"/>
        <v>0</v>
      </c>
      <c r="BF137" s="76">
        <f t="shared" si="282"/>
        <v>0</v>
      </c>
      <c r="BG137" s="76">
        <f t="shared" si="282"/>
        <v>0</v>
      </c>
      <c r="BH137" s="76">
        <f t="shared" si="282"/>
        <v>0</v>
      </c>
      <c r="BI137" s="76">
        <f t="shared" si="282"/>
        <v>0</v>
      </c>
      <c r="BJ137" s="76">
        <f t="shared" si="282"/>
        <v>0</v>
      </c>
      <c r="BK137" s="76">
        <f t="shared" si="282"/>
        <v>0</v>
      </c>
      <c r="BL137" s="76">
        <f t="shared" si="282"/>
        <v>0</v>
      </c>
      <c r="BM137" s="76">
        <f t="shared" si="282"/>
        <v>0</v>
      </c>
      <c r="BN137" s="76">
        <f t="shared" si="282"/>
        <v>0</v>
      </c>
      <c r="BO137" s="76">
        <f t="shared" si="282"/>
        <v>0</v>
      </c>
      <c r="BP137" s="76">
        <f aca="true" t="shared" si="283" ref="BP137:CU137">BO137+BP136-BP135</f>
        <v>0</v>
      </c>
      <c r="BQ137" s="76">
        <f t="shared" si="283"/>
        <v>0</v>
      </c>
      <c r="BR137" s="76">
        <f t="shared" si="283"/>
        <v>0</v>
      </c>
      <c r="BS137" s="76">
        <f t="shared" si="283"/>
        <v>0</v>
      </c>
      <c r="BT137" s="77">
        <f t="shared" si="283"/>
        <v>0</v>
      </c>
      <c r="BU137" s="77">
        <f t="shared" si="283"/>
        <v>0</v>
      </c>
      <c r="BV137" s="77">
        <f t="shared" si="283"/>
        <v>0</v>
      </c>
      <c r="BW137" s="76">
        <f t="shared" si="283"/>
        <v>0</v>
      </c>
      <c r="BX137" s="76">
        <f t="shared" si="283"/>
        <v>0</v>
      </c>
      <c r="BY137" s="76">
        <f t="shared" si="283"/>
        <v>0</v>
      </c>
      <c r="BZ137" s="76">
        <f t="shared" si="283"/>
        <v>0</v>
      </c>
      <c r="CA137" s="76">
        <f t="shared" si="283"/>
        <v>0</v>
      </c>
      <c r="CB137" s="76">
        <f t="shared" si="283"/>
        <v>0</v>
      </c>
      <c r="CC137" s="76">
        <f t="shared" si="283"/>
        <v>0</v>
      </c>
      <c r="CD137" s="76">
        <f t="shared" si="283"/>
        <v>0</v>
      </c>
      <c r="CE137" s="76">
        <f t="shared" si="283"/>
        <v>0</v>
      </c>
      <c r="CF137" s="76">
        <f t="shared" si="283"/>
        <v>0</v>
      </c>
      <c r="CG137" s="76">
        <f t="shared" si="283"/>
        <v>0</v>
      </c>
      <c r="CH137" s="76">
        <f t="shared" si="283"/>
        <v>0</v>
      </c>
      <c r="CI137" s="76">
        <f t="shared" si="283"/>
        <v>0</v>
      </c>
      <c r="CJ137" s="76">
        <f t="shared" si="283"/>
        <v>0</v>
      </c>
      <c r="CK137" s="76">
        <f t="shared" si="283"/>
        <v>0</v>
      </c>
      <c r="CL137" s="76">
        <f t="shared" si="283"/>
        <v>0</v>
      </c>
      <c r="CM137" s="76">
        <f t="shared" si="283"/>
        <v>0</v>
      </c>
      <c r="CN137" s="76">
        <f t="shared" si="283"/>
        <v>0</v>
      </c>
      <c r="CO137" s="76">
        <f t="shared" si="283"/>
        <v>0</v>
      </c>
      <c r="CP137" s="76">
        <f t="shared" si="283"/>
        <v>0</v>
      </c>
      <c r="CQ137" s="76">
        <f t="shared" si="283"/>
        <v>0</v>
      </c>
      <c r="CR137" s="76">
        <f t="shared" si="283"/>
        <v>0</v>
      </c>
      <c r="CS137" s="76">
        <f t="shared" si="283"/>
        <v>0</v>
      </c>
      <c r="CT137" s="76">
        <f t="shared" si="283"/>
        <v>0</v>
      </c>
      <c r="CU137" s="76">
        <f t="shared" si="283"/>
        <v>0</v>
      </c>
      <c r="CV137" s="76">
        <f aca="true" t="shared" si="284" ref="CV137:EA137">CU137+CV136-CV135</f>
        <v>0</v>
      </c>
      <c r="CW137" s="76">
        <f t="shared" si="284"/>
        <v>0</v>
      </c>
      <c r="CX137" s="76">
        <f t="shared" si="284"/>
        <v>0</v>
      </c>
      <c r="CY137" s="76">
        <f t="shared" si="284"/>
        <v>0</v>
      </c>
      <c r="CZ137" s="76">
        <f t="shared" si="284"/>
        <v>0</v>
      </c>
      <c r="DA137" s="76">
        <f t="shared" si="284"/>
        <v>0</v>
      </c>
      <c r="DB137" s="76">
        <f t="shared" si="284"/>
        <v>0</v>
      </c>
      <c r="DC137" s="76">
        <f t="shared" si="284"/>
        <v>0</v>
      </c>
      <c r="DD137" s="76">
        <f t="shared" si="284"/>
        <v>0</v>
      </c>
      <c r="DE137" s="76">
        <f t="shared" si="284"/>
        <v>0</v>
      </c>
      <c r="DF137" s="76">
        <f t="shared" si="284"/>
        <v>0</v>
      </c>
      <c r="DG137" s="76">
        <f t="shared" si="284"/>
        <v>0</v>
      </c>
      <c r="DH137" s="76">
        <f t="shared" si="284"/>
        <v>0</v>
      </c>
      <c r="DI137" s="76">
        <f t="shared" si="284"/>
        <v>0</v>
      </c>
      <c r="DJ137" s="76">
        <f t="shared" si="284"/>
        <v>0</v>
      </c>
      <c r="DK137" s="76">
        <f t="shared" si="284"/>
        <v>0</v>
      </c>
      <c r="DL137" s="76">
        <f t="shared" si="284"/>
        <v>0</v>
      </c>
      <c r="DM137" s="76">
        <f t="shared" si="284"/>
        <v>0</v>
      </c>
      <c r="DN137" s="76">
        <f t="shared" si="284"/>
        <v>0</v>
      </c>
      <c r="DO137" s="76">
        <f t="shared" si="284"/>
        <v>0</v>
      </c>
      <c r="DP137" s="76">
        <f t="shared" si="284"/>
        <v>0</v>
      </c>
      <c r="DQ137" s="76">
        <f t="shared" si="284"/>
        <v>0</v>
      </c>
      <c r="DR137" s="76">
        <f t="shared" si="284"/>
        <v>0</v>
      </c>
      <c r="DS137" s="76">
        <f t="shared" si="284"/>
        <v>0</v>
      </c>
      <c r="DT137" s="76">
        <f t="shared" si="284"/>
        <v>0</v>
      </c>
      <c r="DU137" s="76">
        <f t="shared" si="284"/>
        <v>0</v>
      </c>
      <c r="DV137" s="76">
        <f t="shared" si="284"/>
        <v>0</v>
      </c>
      <c r="DW137" s="76">
        <f t="shared" si="284"/>
        <v>0</v>
      </c>
      <c r="DX137" s="76">
        <f t="shared" si="284"/>
        <v>0</v>
      </c>
      <c r="DY137" s="76">
        <f t="shared" si="284"/>
        <v>0</v>
      </c>
      <c r="DZ137" s="76">
        <f t="shared" si="284"/>
        <v>0</v>
      </c>
      <c r="EA137" s="76">
        <f t="shared" si="284"/>
        <v>0</v>
      </c>
      <c r="EB137" s="76">
        <f aca="true" t="shared" si="285" ref="EB137:FH137">EA137+EB136-EB135</f>
        <v>0</v>
      </c>
      <c r="EC137" s="76">
        <f t="shared" si="285"/>
        <v>0</v>
      </c>
      <c r="ED137" s="76">
        <f t="shared" si="285"/>
        <v>0</v>
      </c>
      <c r="EE137" s="76">
        <f t="shared" si="285"/>
        <v>0</v>
      </c>
      <c r="EF137" s="76">
        <f t="shared" si="285"/>
        <v>0</v>
      </c>
      <c r="EG137" s="76">
        <f t="shared" si="285"/>
        <v>0</v>
      </c>
      <c r="EH137" s="76">
        <f t="shared" si="285"/>
        <v>0</v>
      </c>
      <c r="EI137" s="76">
        <f t="shared" si="285"/>
        <v>0</v>
      </c>
      <c r="EJ137" s="76">
        <f t="shared" si="285"/>
        <v>0</v>
      </c>
      <c r="EK137" s="76">
        <f t="shared" si="285"/>
        <v>0</v>
      </c>
      <c r="EL137" s="76">
        <f t="shared" si="285"/>
        <v>0</v>
      </c>
      <c r="EM137" s="76">
        <f t="shared" si="285"/>
        <v>0</v>
      </c>
      <c r="EN137" s="76">
        <f t="shared" si="285"/>
        <v>0</v>
      </c>
      <c r="EO137" s="76">
        <f t="shared" si="285"/>
        <v>0</v>
      </c>
      <c r="EP137" s="76">
        <f t="shared" si="285"/>
        <v>0</v>
      </c>
      <c r="EQ137" s="76">
        <f t="shared" si="285"/>
        <v>0</v>
      </c>
      <c r="ER137" s="76">
        <f>EQ137+ER136-ER135</f>
        <v>0</v>
      </c>
      <c r="ES137" s="76">
        <f>ER137+ES136-ES135</f>
        <v>0</v>
      </c>
      <c r="ET137" s="76">
        <f>ES137+ET136-ET135</f>
        <v>0</v>
      </c>
      <c r="EU137" s="76">
        <f t="shared" si="285"/>
        <v>0</v>
      </c>
      <c r="EV137" s="76">
        <f t="shared" si="285"/>
        <v>0</v>
      </c>
      <c r="EW137" s="76">
        <f t="shared" si="285"/>
        <v>0</v>
      </c>
      <c r="EX137" s="76">
        <f t="shared" si="285"/>
        <v>0</v>
      </c>
      <c r="EY137" s="76">
        <f t="shared" si="285"/>
        <v>0</v>
      </c>
      <c r="EZ137" s="76">
        <f t="shared" si="285"/>
        <v>0</v>
      </c>
      <c r="FA137" s="76">
        <f t="shared" si="285"/>
        <v>0</v>
      </c>
      <c r="FB137" s="76">
        <f t="shared" si="285"/>
        <v>0</v>
      </c>
      <c r="FC137" s="76">
        <f t="shared" si="285"/>
        <v>0</v>
      </c>
      <c r="FD137" s="76">
        <f t="shared" si="285"/>
        <v>0</v>
      </c>
      <c r="FE137" s="76">
        <f t="shared" si="285"/>
        <v>0</v>
      </c>
      <c r="FF137" s="76">
        <f t="shared" si="285"/>
        <v>0</v>
      </c>
      <c r="FG137" s="76">
        <f t="shared" si="285"/>
        <v>0</v>
      </c>
      <c r="FH137" s="76">
        <f t="shared" si="285"/>
        <v>0</v>
      </c>
      <c r="FI137" s="76">
        <f aca="true" t="shared" si="286" ref="FI137:GN137">FH137+FI136-FI135</f>
        <v>0</v>
      </c>
      <c r="FJ137" s="76">
        <f t="shared" si="286"/>
        <v>0</v>
      </c>
      <c r="FK137" s="76">
        <f t="shared" si="286"/>
        <v>0</v>
      </c>
      <c r="FL137" s="76">
        <f t="shared" si="286"/>
        <v>0</v>
      </c>
      <c r="FM137" s="76">
        <f t="shared" si="286"/>
        <v>0</v>
      </c>
      <c r="FN137" s="76">
        <f t="shared" si="286"/>
        <v>0</v>
      </c>
      <c r="FO137" s="76">
        <f t="shared" si="286"/>
        <v>0</v>
      </c>
      <c r="FP137" s="76">
        <f t="shared" si="286"/>
        <v>0</v>
      </c>
      <c r="FQ137" s="76">
        <f t="shared" si="286"/>
        <v>0</v>
      </c>
      <c r="FR137" s="76">
        <f t="shared" si="286"/>
        <v>0</v>
      </c>
      <c r="FS137" s="76">
        <f t="shared" si="286"/>
        <v>0</v>
      </c>
      <c r="FT137" s="76">
        <f t="shared" si="286"/>
        <v>0</v>
      </c>
      <c r="FU137" s="76">
        <f t="shared" si="286"/>
        <v>0</v>
      </c>
      <c r="FV137" s="76">
        <f t="shared" si="286"/>
        <v>0</v>
      </c>
      <c r="FW137" s="76">
        <f t="shared" si="286"/>
        <v>0</v>
      </c>
      <c r="FX137" s="76">
        <f t="shared" si="286"/>
        <v>0</v>
      </c>
      <c r="FY137" s="76">
        <f t="shared" si="286"/>
        <v>0</v>
      </c>
      <c r="FZ137" s="76">
        <f t="shared" si="286"/>
        <v>0</v>
      </c>
      <c r="GA137" s="76">
        <f t="shared" si="286"/>
        <v>0</v>
      </c>
      <c r="GB137" s="76">
        <f t="shared" si="286"/>
        <v>0</v>
      </c>
      <c r="GC137" s="76">
        <f t="shared" si="286"/>
        <v>0</v>
      </c>
      <c r="GD137" s="76">
        <f t="shared" si="286"/>
        <v>0</v>
      </c>
      <c r="GE137" s="76">
        <f t="shared" si="286"/>
        <v>0</v>
      </c>
      <c r="GF137" s="76">
        <f t="shared" si="286"/>
        <v>0</v>
      </c>
      <c r="GG137" s="76">
        <f t="shared" si="286"/>
        <v>0</v>
      </c>
      <c r="GH137" s="76">
        <f t="shared" si="286"/>
        <v>0</v>
      </c>
      <c r="GI137" s="76">
        <f t="shared" si="286"/>
        <v>0</v>
      </c>
      <c r="GJ137" s="76">
        <f t="shared" si="286"/>
        <v>0</v>
      </c>
      <c r="GK137" s="76">
        <f t="shared" si="286"/>
        <v>0</v>
      </c>
      <c r="GL137" s="76">
        <f t="shared" si="286"/>
        <v>0</v>
      </c>
      <c r="GM137" s="76">
        <f t="shared" si="286"/>
        <v>0</v>
      </c>
      <c r="GN137" s="76">
        <f t="shared" si="286"/>
        <v>0</v>
      </c>
      <c r="GO137" s="76">
        <f>GN137+GO136-GO135</f>
        <v>0</v>
      </c>
    </row>
    <row r="138" spans="1:256" s="84" customFormat="1" ht="37.5" customHeight="1">
      <c r="A138" s="82"/>
      <c r="B138" s="82"/>
      <c r="C138" s="83" t="s">
        <v>271</v>
      </c>
      <c r="BT138" s="85"/>
      <c r="BU138" s="85"/>
      <c r="BV138" s="85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191" ht="26.25">
      <c r="A139" s="4"/>
      <c r="B139" s="4"/>
      <c r="C139" s="10" t="s">
        <v>272</v>
      </c>
      <c r="E139" s="86"/>
      <c r="F139" s="86"/>
      <c r="G139" s="86"/>
      <c r="H139" s="86"/>
      <c r="I139" s="86"/>
      <c r="J139" s="86"/>
      <c r="K139" s="87">
        <f>SUM(F134:K134)</f>
        <v>1344.199999999999</v>
      </c>
      <c r="L139" s="86"/>
      <c r="M139" s="86"/>
      <c r="N139" s="86"/>
      <c r="O139" s="86"/>
      <c r="P139" s="86"/>
      <c r="Q139" s="87">
        <f>SUM(L134:Q134)</f>
        <v>1337.300000000001</v>
      </c>
      <c r="R139" s="86"/>
      <c r="S139" s="86"/>
      <c r="T139" s="86"/>
      <c r="U139" s="86"/>
      <c r="V139" s="86"/>
      <c r="W139" s="87">
        <f>SUM(R134:W134)</f>
        <v>1183.8000000000004</v>
      </c>
      <c r="X139" s="86"/>
      <c r="Y139" s="86"/>
      <c r="Z139" s="86"/>
      <c r="AA139" s="86"/>
      <c r="AB139" s="86"/>
      <c r="AC139" s="87">
        <f>SUM(X134:AC134)</f>
        <v>1404.1999999999998</v>
      </c>
      <c r="AD139" s="86"/>
      <c r="AE139" s="86"/>
      <c r="AF139" s="86"/>
      <c r="AG139" s="86"/>
      <c r="AH139" s="86"/>
      <c r="AI139" s="87">
        <f>SUM(AD134:AI134)</f>
        <v>1194.8000000000006</v>
      </c>
      <c r="AO139" s="87">
        <f>SUM(AJ134:AO134)</f>
        <v>2041.3000000000004</v>
      </c>
      <c r="AU139" s="87">
        <f>SUM(AP134:AU134)</f>
        <v>1406.599999999999</v>
      </c>
      <c r="BA139" s="87">
        <f>SUM(AV134:BA134)</f>
        <v>1508.6000000000004</v>
      </c>
      <c r="BG139" s="87">
        <f>SUM(BB134:BG134)</f>
        <v>1414.9999999999998</v>
      </c>
      <c r="BM139" s="87">
        <f>SUM(BH134:BM134)</f>
        <v>1361.8000000000004</v>
      </c>
      <c r="BS139" s="87">
        <f>SUM(BN134:BS134)</f>
        <v>2503.7999999999984</v>
      </c>
      <c r="BY139" s="87">
        <f>SUM(BT134:BY134)</f>
        <v>1055.8000000000004</v>
      </c>
      <c r="CE139" s="87">
        <f>SUM(BZ134:CE134)</f>
        <v>1558.3200000000006</v>
      </c>
      <c r="CK139" s="87">
        <f>SUM(CF134:CK134)</f>
        <v>2062.8</v>
      </c>
      <c r="CQ139" s="87">
        <f>SUM(CL134:CQ134)</f>
        <v>1817.0499999999995</v>
      </c>
      <c r="CW139" s="87">
        <f>SUM(CR134:CW134)</f>
        <v>1653.0999999999997</v>
      </c>
      <c r="DC139" s="87">
        <f>SUM(CX134:DC134)</f>
        <v>1554.6</v>
      </c>
      <c r="DI139" s="87">
        <f>SUM(DD134:DI134)</f>
        <v>1752.4999999999998</v>
      </c>
      <c r="DO139" s="87">
        <f>SUM(DJ134:DO134)</f>
        <v>1617.2200000000003</v>
      </c>
      <c r="DU139" s="87">
        <f>SUM(DP134:DU134)</f>
        <v>1515.82</v>
      </c>
      <c r="EA139" s="87">
        <f>SUM(DV134:EA134)</f>
        <v>1666.6999999999998</v>
      </c>
      <c r="EG139" s="87">
        <f>SUM(EB134:EG134)</f>
        <v>1473.9000000000003</v>
      </c>
      <c r="EM139" s="87">
        <f>SUM(EH134:EM134)</f>
        <v>1338.8000000000006</v>
      </c>
      <c r="ES139" s="87">
        <f>SUM(EN134:ES134)</f>
        <v>2215.499999999998</v>
      </c>
      <c r="ET139" s="87"/>
      <c r="EY139" s="87">
        <f>SUM(ET134:EY134)</f>
        <v>1731.62</v>
      </c>
      <c r="FE139" s="87">
        <f>SUM(EZ134:FE134)</f>
        <v>1260.6000000000001</v>
      </c>
      <c r="FK139" s="87">
        <f>SUM(FF134:FK134)</f>
        <v>1443</v>
      </c>
      <c r="FQ139" s="87">
        <f>SUM(FL134:FQ134)</f>
        <v>1784.5000000000005</v>
      </c>
      <c r="FW139" s="87">
        <f>SUM(FR134:FW134)</f>
        <v>1336.1999999999996</v>
      </c>
      <c r="GC139" s="87">
        <f>SUM(FX134:GC134)</f>
        <v>368.9199999999996</v>
      </c>
      <c r="GI139" s="87">
        <f>SUM(GD134:GI134)</f>
        <v>17.799999999999955</v>
      </c>
    </row>
    <row r="140" spans="1:191" ht="26.25">
      <c r="A140" s="4"/>
      <c r="B140" s="4"/>
      <c r="C140" s="10" t="s">
        <v>273</v>
      </c>
      <c r="E140" s="88"/>
      <c r="F140" s="88"/>
      <c r="G140" s="88"/>
      <c r="H140" s="88"/>
      <c r="I140" s="88"/>
      <c r="J140" s="88"/>
      <c r="K140" s="89">
        <f>SUM(F131:K131)</f>
        <v>1006.8000000000001</v>
      </c>
      <c r="L140" s="88"/>
      <c r="M140" s="88"/>
      <c r="N140" s="88"/>
      <c r="O140" s="88"/>
      <c r="P140" s="88"/>
      <c r="Q140" s="89">
        <f>SUM(L131:Q131)</f>
        <v>2577.7000000000003</v>
      </c>
      <c r="R140" s="88"/>
      <c r="S140" s="88"/>
      <c r="T140" s="88"/>
      <c r="U140" s="88"/>
      <c r="V140" s="88"/>
      <c r="W140" s="89">
        <f>SUM(R131:W131)</f>
        <v>1241.8</v>
      </c>
      <c r="X140" s="88"/>
      <c r="Y140" s="88"/>
      <c r="Z140" s="88"/>
      <c r="AA140" s="88"/>
      <c r="AB140" s="88"/>
      <c r="AC140" s="89">
        <f>SUM(X131:AC131)</f>
        <v>1427.6</v>
      </c>
      <c r="AD140" s="88"/>
      <c r="AE140" s="88"/>
      <c r="AF140" s="88"/>
      <c r="AG140" s="88"/>
      <c r="AH140" s="88"/>
      <c r="AI140" s="89">
        <f>SUM(AD131:AI131)</f>
        <v>1801.6</v>
      </c>
      <c r="AO140" s="89">
        <f>SUM(AJ131:AO131)</f>
        <v>136.9</v>
      </c>
      <c r="AU140" s="89">
        <f>SUM(AP131:AU131)</f>
        <v>3190.2000000000003</v>
      </c>
      <c r="BA140" s="89">
        <f>SUM(AV131:BA131)</f>
        <v>1516.1999999999998</v>
      </c>
      <c r="BG140" s="89">
        <f>SUM(BB131:BG131)</f>
        <v>1517.2000000000003</v>
      </c>
      <c r="BM140" s="89">
        <f>SUM(BH131:BM131)</f>
        <v>357.69999999999993</v>
      </c>
      <c r="BS140" s="89">
        <f>SUM(BN131:BS131)</f>
        <v>3068.2999999999997</v>
      </c>
      <c r="BY140" s="89">
        <f>SUM(BT131:BY131)</f>
        <v>1221.9</v>
      </c>
      <c r="CE140" s="89">
        <f>SUM(BZ131:CE131)</f>
        <v>1534.9</v>
      </c>
      <c r="CK140" s="89">
        <f>SUM(CF131:CK131)</f>
        <v>1568.8</v>
      </c>
      <c r="CQ140" s="89">
        <f>SUM(CL131:CQ131)</f>
        <v>2194.7499999999995</v>
      </c>
      <c r="CW140" s="89">
        <f>SUM(CR131:CW131)</f>
        <v>1722.0000000000002</v>
      </c>
      <c r="DC140" s="89">
        <f>SUM(CX131:DC131)</f>
        <v>1428.7999999999997</v>
      </c>
      <c r="DI140" s="89">
        <f>SUM(DD131:DI131)</f>
        <v>1843.5</v>
      </c>
      <c r="DO140" s="89">
        <f>SUM(DJ131:DO131)</f>
        <v>92.6</v>
      </c>
      <c r="DU140" s="89">
        <f>SUM(DP131:DU131)</f>
        <v>3045.2</v>
      </c>
      <c r="EA140" s="89">
        <f>SUM(DV131:EA131)</f>
        <v>1606.9999999999998</v>
      </c>
      <c r="EG140" s="89">
        <f>SUM(EB131:EG131)</f>
        <v>1574.5</v>
      </c>
      <c r="EM140" s="89">
        <f>SUM(EH131:EM131)</f>
        <v>425.40000000000003</v>
      </c>
      <c r="ES140" s="89">
        <f>SUM(EN131:ES131)</f>
        <v>2903.1999999999994</v>
      </c>
      <c r="ET140" s="89"/>
      <c r="EY140" s="89">
        <f>SUM(ET131:EY131)</f>
        <v>1679.8000000000002</v>
      </c>
      <c r="FE140" s="89">
        <f>SUM(EZ131:FE131)</f>
        <v>1642.9</v>
      </c>
      <c r="FK140" s="89">
        <f>SUM(FF131:FK131)</f>
        <v>1285.25</v>
      </c>
      <c r="FQ140" s="89">
        <f>SUM(FL131:FQ131)</f>
        <v>61.7</v>
      </c>
      <c r="FW140" s="89">
        <f>SUM(FR131:FW131)</f>
        <v>3234.7999999999993</v>
      </c>
      <c r="GC140" s="89">
        <f>SUM(FX131:GC131)</f>
        <v>1303.6000000000001</v>
      </c>
      <c r="GI140" s="89">
        <f>SUM(GD131:GI131)</f>
        <v>137.2</v>
      </c>
    </row>
    <row r="141" spans="1:191" ht="46.5" customHeight="1">
      <c r="A141" s="4"/>
      <c r="B141" s="4"/>
      <c r="C141" s="10" t="s">
        <v>274</v>
      </c>
      <c r="E141" s="78"/>
      <c r="F141" s="78"/>
      <c r="G141" s="78"/>
      <c r="H141" s="78"/>
      <c r="I141" s="78"/>
      <c r="J141" s="78"/>
      <c r="K141" s="78">
        <f>SUM(F135:J135,K140)-(SUM(F136:K136))</f>
        <v>1006.8000000000001</v>
      </c>
      <c r="L141" s="78"/>
      <c r="M141" s="78"/>
      <c r="N141" s="78"/>
      <c r="O141" s="78"/>
      <c r="P141" s="78"/>
      <c r="Q141" s="78">
        <f>SUM(L135:P135,Q140)-(SUM(L136:Q136))</f>
        <v>2577.7000000000003</v>
      </c>
      <c r="R141" s="78"/>
      <c r="S141" s="78"/>
      <c r="T141" s="78"/>
      <c r="U141" s="78"/>
      <c r="V141" s="78"/>
      <c r="W141" s="78">
        <f>SUM(R135:V135,W140)-(SUM(R136:W136))</f>
        <v>1241.8</v>
      </c>
      <c r="X141" s="78"/>
      <c r="Y141" s="78"/>
      <c r="Z141" s="78"/>
      <c r="AA141" s="78"/>
      <c r="AB141" s="78"/>
      <c r="AC141" s="78">
        <f>SUM(X135:AB135,AC140)-(SUM(X136:AC136))</f>
        <v>1427.6</v>
      </c>
      <c r="AD141" s="78"/>
      <c r="AE141" s="78"/>
      <c r="AF141" s="78"/>
      <c r="AG141" s="78"/>
      <c r="AH141" s="78"/>
      <c r="AI141" s="78">
        <f>SUM(AD135:AH135,AI140)-(SUM(AD136:AI136))</f>
        <v>1801.6</v>
      </c>
      <c r="AO141" s="78">
        <f>SUM(AJ135:AN135,AO140)-(SUM(AJ136:AO136))</f>
        <v>136.9</v>
      </c>
      <c r="AU141" s="78">
        <f>SUM(AP135:AT135,AU140)-(SUM(AP136:AU136))</f>
        <v>3190.2000000000003</v>
      </c>
      <c r="BA141" s="78">
        <f>SUM(AV135:AZ135,BA140)-(SUM(AV136:BA136))</f>
        <v>1516.1999999999998</v>
      </c>
      <c r="BG141" s="78">
        <f>SUM(BB135:BF135,BG140)-(SUM(BB136:BG136))</f>
        <v>1517.2000000000003</v>
      </c>
      <c r="BM141" s="78">
        <f>SUM(BH135:BL135,BM140)-(SUM(BH136:BM136))</f>
        <v>357.69999999999993</v>
      </c>
      <c r="BS141" s="78">
        <f>SUM(BN135:BR135,BS140)-(SUM(BN136:BS136))</f>
        <v>3068.2999999999997</v>
      </c>
      <c r="BY141" s="78">
        <f>SUM(BT135:BX135,BY140)-(SUM(BT136:BY136))</f>
        <v>1221.9</v>
      </c>
      <c r="CE141" s="78">
        <f>SUM(BZ135:CD135,CE140)-(SUM(BZ136:CE136))</f>
        <v>1534.9</v>
      </c>
      <c r="CK141" s="78">
        <f>SUM(CF135:CJ135,CK140)-(SUM(CF136:CK136))</f>
        <v>1568.8</v>
      </c>
      <c r="CQ141" s="78">
        <f>SUM(CL135:CP135,CQ140)-(SUM(CL136:CQ136))</f>
        <v>2194.7499999999995</v>
      </c>
      <c r="CW141" s="78">
        <f>SUM(CR135:CV135,CW140)-(SUM(CR136:CW136))</f>
        <v>1722.0000000000002</v>
      </c>
      <c r="DC141" s="78">
        <f>SUM(CX135:DB135,DC140)-(SUM(CX136:DC136))</f>
        <v>1428.7999999999997</v>
      </c>
      <c r="DI141" s="78">
        <f>SUM(DD135:DH135,DI140)-(SUM(DD136:DI136))</f>
        <v>1843.5</v>
      </c>
      <c r="DO141" s="78">
        <f>SUM(DJ135:DN135,DO140)-(SUM(DJ136:DO136))</f>
        <v>92.6</v>
      </c>
      <c r="DU141" s="78">
        <f>SUM(DP135:DT135,DU140)-(SUM(DP136:DU136))</f>
        <v>3045.2</v>
      </c>
      <c r="EA141" s="78">
        <f>SUM(DV135:DZ135,EA140)-(SUM(DV136:EA136))</f>
        <v>1606.9999999999998</v>
      </c>
      <c r="EG141" s="78">
        <f>SUM(EB135:EF135,EG140)-(SUM(EB136:EG136))</f>
        <v>1574.5</v>
      </c>
      <c r="EM141" s="78">
        <f>SUM(EH135:EL135,EM140)-(SUM(EH136:EM136))</f>
        <v>425.40000000000003</v>
      </c>
      <c r="ES141" s="78">
        <f>SUM(EN135:ER135,ES140)-(SUM(EN136:ES136))</f>
        <v>2903.1999999999994</v>
      </c>
      <c r="ET141" s="78"/>
      <c r="EY141" s="78">
        <f>SUM(ET135:EX135,EY140)-(SUM(ET136:EY136))</f>
        <v>1679.8000000000002</v>
      </c>
      <c r="FE141" s="78">
        <f>SUM(EZ135:FD135,FE140)-(SUM(EZ136:FE136))</f>
        <v>1642.9</v>
      </c>
      <c r="FK141" s="78">
        <f>SUM(FF135:FJ135,FK140)-(SUM(FF136:FK136))</f>
        <v>1285.25</v>
      </c>
      <c r="FQ141" s="78">
        <f>SUM(FL135:FP135,FQ140)-(SUM(FL136:FQ136))</f>
        <v>61.7</v>
      </c>
      <c r="FW141" s="78">
        <f>SUM(FR135:FV135,FW140)-(SUM(FR136:FW136))</f>
        <v>3234.7999999999993</v>
      </c>
      <c r="GC141" s="78">
        <f>SUM(FX135:GB135,GC140)-(SUM(FX136:GC136))</f>
        <v>1303.6000000000001</v>
      </c>
      <c r="GI141" s="78">
        <f>SUM(GD135:GH135,GI140)-(SUM(GD136:GI136))</f>
        <v>137.2</v>
      </c>
    </row>
    <row r="142" spans="1:3" ht="26.25">
      <c r="A142" s="4"/>
      <c r="B142" s="4"/>
      <c r="C142" s="10" t="s">
        <v>275</v>
      </c>
    </row>
    <row r="143" spans="1:3" ht="26.25">
      <c r="A143" s="4"/>
      <c r="B143" s="4"/>
      <c r="C143" s="10" t="s">
        <v>276</v>
      </c>
    </row>
    <row r="144" spans="1:5" ht="15">
      <c r="A144" s="10"/>
      <c r="B144" s="10"/>
      <c r="C144" s="10"/>
      <c r="D144" s="90"/>
      <c r="E144" s="90"/>
    </row>
    <row r="145" spans="1:3" ht="15">
      <c r="A145" s="7"/>
      <c r="B145" s="7"/>
      <c r="C145" s="10"/>
    </row>
    <row r="146" spans="1:3" ht="15">
      <c r="A146" s="7"/>
      <c r="B146" s="7"/>
      <c r="C146" s="4"/>
    </row>
    <row r="147" spans="1:3" ht="15">
      <c r="A147" s="7"/>
      <c r="B147" s="7"/>
      <c r="C147" s="4"/>
    </row>
    <row r="148" spans="1:3" ht="15">
      <c r="A148" s="7"/>
      <c r="B148" s="7"/>
      <c r="C148" s="4"/>
    </row>
    <row r="149" spans="1:3" ht="15">
      <c r="A149" s="7"/>
      <c r="B149" s="7"/>
      <c r="C149" s="4"/>
    </row>
    <row r="150" spans="1:3" ht="15">
      <c r="A150" s="7"/>
      <c r="B150" s="7"/>
      <c r="C150" s="4"/>
    </row>
    <row r="151" spans="1:3" ht="15">
      <c r="A151" s="7"/>
      <c r="B151" s="7"/>
      <c r="C151" s="4"/>
    </row>
    <row r="152" spans="1:3" ht="15">
      <c r="A152" s="7"/>
      <c r="B152" s="7"/>
      <c r="C152" s="4"/>
    </row>
    <row r="153" spans="1:3" ht="15">
      <c r="A153" s="7"/>
      <c r="B153" s="7"/>
      <c r="C153" s="4"/>
    </row>
    <row r="154" spans="1:3" ht="21.75" customHeight="1">
      <c r="A154" s="7"/>
      <c r="B154" s="7"/>
      <c r="C154" s="4"/>
    </row>
    <row r="155" spans="1:3" ht="17.25" customHeight="1">
      <c r="A155" s="7"/>
      <c r="B155" s="7"/>
      <c r="C155" s="4"/>
    </row>
    <row r="156" spans="1:3" ht="15">
      <c r="A156" s="7"/>
      <c r="B156" s="7"/>
      <c r="C156" s="4"/>
    </row>
    <row r="157" spans="1:3" ht="15">
      <c r="A157" s="7"/>
      <c r="B157" s="7"/>
      <c r="C157" s="4"/>
    </row>
    <row r="158" spans="1:3" ht="16.5" customHeight="1">
      <c r="A158" s="7"/>
      <c r="B158" s="7"/>
      <c r="C158" s="4"/>
    </row>
    <row r="159" spans="1:3" ht="17.25" customHeight="1">
      <c r="A159" s="7"/>
      <c r="B159" s="7"/>
      <c r="C159" s="4"/>
    </row>
    <row r="160" spans="1:174" ht="25.5">
      <c r="A160" s="7"/>
      <c r="B160" s="7"/>
      <c r="C160" s="10" t="s">
        <v>277</v>
      </c>
      <c r="F160">
        <v>400</v>
      </c>
      <c r="G160">
        <v>145</v>
      </c>
      <c r="H160">
        <v>105</v>
      </c>
      <c r="J160">
        <v>314</v>
      </c>
      <c r="L160">
        <v>355</v>
      </c>
      <c r="M160" s="13">
        <v>140</v>
      </c>
      <c r="AJ160">
        <v>390</v>
      </c>
      <c r="AK160">
        <v>150</v>
      </c>
      <c r="AL160">
        <v>205</v>
      </c>
      <c r="AM160" s="91">
        <v>250</v>
      </c>
      <c r="AP160">
        <v>220</v>
      </c>
      <c r="AQ160">
        <v>135</v>
      </c>
      <c r="AR160">
        <v>175</v>
      </c>
      <c r="AV160">
        <v>345</v>
      </c>
      <c r="AW160">
        <v>165</v>
      </c>
      <c r="AX160">
        <v>180</v>
      </c>
      <c r="AY160">
        <v>160</v>
      </c>
      <c r="AZ160">
        <v>130</v>
      </c>
      <c r="BB160">
        <v>330</v>
      </c>
      <c r="BC160">
        <v>145</v>
      </c>
      <c r="BD160">
        <v>235</v>
      </c>
      <c r="BE160">
        <v>200</v>
      </c>
      <c r="BF160">
        <v>220</v>
      </c>
      <c r="BH160">
        <v>360</v>
      </c>
      <c r="BI160">
        <v>155</v>
      </c>
      <c r="BJ160">
        <v>200</v>
      </c>
      <c r="BK160">
        <v>190</v>
      </c>
      <c r="BL160" s="91">
        <v>175</v>
      </c>
      <c r="BM160">
        <v>140</v>
      </c>
      <c r="BN160">
        <v>200</v>
      </c>
      <c r="BO160">
        <v>90</v>
      </c>
      <c r="BP160">
        <v>50</v>
      </c>
      <c r="BQ160">
        <v>185</v>
      </c>
      <c r="BR160">
        <v>120</v>
      </c>
      <c r="BS160">
        <v>150</v>
      </c>
      <c r="BT160">
        <v>120</v>
      </c>
      <c r="BU160">
        <v>130</v>
      </c>
      <c r="BV160"/>
      <c r="BW160">
        <v>170</v>
      </c>
      <c r="BX160">
        <v>170</v>
      </c>
      <c r="CJ160">
        <v>190</v>
      </c>
      <c r="CL160">
        <v>390</v>
      </c>
      <c r="CM160">
        <v>180</v>
      </c>
      <c r="CN160" s="92">
        <f>185+200+100</f>
        <v>485</v>
      </c>
      <c r="CO160">
        <v>150</v>
      </c>
      <c r="CP160">
        <v>220</v>
      </c>
      <c r="DF160">
        <v>205</v>
      </c>
      <c r="DG160">
        <v>110</v>
      </c>
      <c r="DH160">
        <v>200</v>
      </c>
      <c r="DJ160">
        <v>330</v>
      </c>
      <c r="DK160">
        <v>155</v>
      </c>
      <c r="DL160">
        <v>250</v>
      </c>
      <c r="DM160" s="92">
        <f>180+150+150+100+120</f>
        <v>700</v>
      </c>
      <c r="DN160">
        <v>50</v>
      </c>
      <c r="DP160">
        <v>350</v>
      </c>
      <c r="EH160">
        <v>285</v>
      </c>
      <c r="EI160">
        <v>140</v>
      </c>
      <c r="EJ160">
        <v>205</v>
      </c>
      <c r="EK160">
        <v>155</v>
      </c>
      <c r="EL160">
        <v>220</v>
      </c>
      <c r="EN160" s="92">
        <f>340+350+100</f>
        <v>790</v>
      </c>
      <c r="EO160">
        <v>65</v>
      </c>
      <c r="EP160">
        <v>180</v>
      </c>
      <c r="EQ160">
        <v>170</v>
      </c>
      <c r="ER160">
        <v>185</v>
      </c>
      <c r="ET160">
        <v>340</v>
      </c>
      <c r="EU160">
        <v>180</v>
      </c>
      <c r="EV160">
        <v>105</v>
      </c>
      <c r="EW160">
        <v>170</v>
      </c>
      <c r="EX160">
        <v>190</v>
      </c>
      <c r="EZ160">
        <v>340</v>
      </c>
      <c r="FA160">
        <v>230</v>
      </c>
      <c r="FB160">
        <v>120</v>
      </c>
      <c r="FC160">
        <v>200</v>
      </c>
      <c r="FD160">
        <v>165</v>
      </c>
      <c r="FE160">
        <v>132</v>
      </c>
      <c r="FF160">
        <v>430</v>
      </c>
      <c r="FG160">
        <v>90</v>
      </c>
      <c r="FH160">
        <v>215</v>
      </c>
      <c r="FI160">
        <v>180</v>
      </c>
      <c r="FJ160">
        <v>145</v>
      </c>
      <c r="FL160">
        <v>325</v>
      </c>
      <c r="FM160">
        <v>145</v>
      </c>
      <c r="FN160">
        <v>170</v>
      </c>
      <c r="FO160">
        <f>165+100+150+200</f>
        <v>615</v>
      </c>
      <c r="FP160">
        <v>45</v>
      </c>
      <c r="FR160">
        <v>320</v>
      </c>
    </row>
    <row r="161" spans="2:174" ht="25.5">
      <c r="B161" s="7"/>
      <c r="C161" s="10" t="s">
        <v>278</v>
      </c>
      <c r="F161">
        <v>75</v>
      </c>
      <c r="G161">
        <v>57</v>
      </c>
      <c r="H161">
        <v>36</v>
      </c>
      <c r="J161" s="13">
        <v>381</v>
      </c>
      <c r="L161" s="13">
        <v>302</v>
      </c>
      <c r="M161" s="93">
        <v>490</v>
      </c>
      <c r="AJ161">
        <v>318</v>
      </c>
      <c r="AK161">
        <v>70</v>
      </c>
      <c r="AL161">
        <v>292</v>
      </c>
      <c r="AM161" s="13">
        <v>190</v>
      </c>
      <c r="AN161">
        <v>50</v>
      </c>
      <c r="AP161">
        <v>50</v>
      </c>
      <c r="AQ161">
        <v>50</v>
      </c>
      <c r="AR161">
        <v>50</v>
      </c>
      <c r="AV161">
        <v>76</v>
      </c>
      <c r="AW161">
        <v>112</v>
      </c>
      <c r="AX161">
        <v>7</v>
      </c>
      <c r="AY161">
        <v>86</v>
      </c>
      <c r="AZ161">
        <v>152</v>
      </c>
      <c r="BB161">
        <v>124</v>
      </c>
      <c r="BC161">
        <v>55</v>
      </c>
      <c r="BD161">
        <v>80</v>
      </c>
      <c r="BE161">
        <v>19</v>
      </c>
      <c r="BF161">
        <v>130</v>
      </c>
      <c r="BH161">
        <v>205</v>
      </c>
      <c r="BI161" s="13">
        <v>77</v>
      </c>
      <c r="BJ161">
        <v>0</v>
      </c>
      <c r="BK161">
        <v>228</v>
      </c>
      <c r="BL161" s="13">
        <v>220</v>
      </c>
      <c r="BM161">
        <v>15</v>
      </c>
      <c r="BP161">
        <v>280</v>
      </c>
      <c r="BQ161">
        <v>30</v>
      </c>
      <c r="BR161">
        <v>30</v>
      </c>
      <c r="BS161">
        <v>30</v>
      </c>
      <c r="BT161"/>
      <c r="BU161"/>
      <c r="BV161"/>
      <c r="CJ161">
        <v>237</v>
      </c>
      <c r="CL161">
        <v>86</v>
      </c>
      <c r="CM161">
        <v>71</v>
      </c>
      <c r="CN161">
        <v>240</v>
      </c>
      <c r="DF161">
        <v>3.2</v>
      </c>
      <c r="DG161">
        <v>18</v>
      </c>
      <c r="DH161">
        <v>82</v>
      </c>
      <c r="DJ161">
        <v>82</v>
      </c>
      <c r="DK161">
        <v>108</v>
      </c>
      <c r="DL161">
        <v>106</v>
      </c>
      <c r="DM161">
        <v>160</v>
      </c>
      <c r="DN161">
        <v>30</v>
      </c>
      <c r="DP161">
        <v>45</v>
      </c>
      <c r="EH161">
        <v>119.3</v>
      </c>
      <c r="EI161">
        <v>25</v>
      </c>
      <c r="EJ161">
        <v>92</v>
      </c>
      <c r="EK161">
        <v>14</v>
      </c>
      <c r="EL161">
        <v>67</v>
      </c>
      <c r="EN161">
        <v>50</v>
      </c>
      <c r="EO161">
        <v>45</v>
      </c>
      <c r="EP161">
        <v>45</v>
      </c>
      <c r="EQ161">
        <v>30</v>
      </c>
      <c r="ER161">
        <v>40</v>
      </c>
      <c r="ET161">
        <v>105</v>
      </c>
      <c r="EU161">
        <v>37</v>
      </c>
      <c r="EV161">
        <v>180</v>
      </c>
      <c r="EW161">
        <v>100</v>
      </c>
      <c r="EX161">
        <v>220</v>
      </c>
      <c r="EZ161">
        <v>180</v>
      </c>
      <c r="FA161">
        <v>80</v>
      </c>
      <c r="FB161">
        <v>90</v>
      </c>
      <c r="FC161">
        <v>120</v>
      </c>
      <c r="FD161">
        <v>170</v>
      </c>
      <c r="FF161">
        <v>48</v>
      </c>
      <c r="FG161">
        <v>31</v>
      </c>
      <c r="FH161">
        <v>101</v>
      </c>
      <c r="FI161">
        <v>107</v>
      </c>
      <c r="FJ161">
        <v>72</v>
      </c>
      <c r="FL161">
        <v>80</v>
      </c>
      <c r="FM161">
        <v>45</v>
      </c>
      <c r="FN161">
        <v>45</v>
      </c>
      <c r="FO161">
        <v>45</v>
      </c>
      <c r="FP161">
        <v>40</v>
      </c>
      <c r="FR161">
        <v>45</v>
      </c>
    </row>
    <row r="162" spans="2:177" ht="15">
      <c r="B162" s="7"/>
      <c r="C162" s="10" t="s">
        <v>279</v>
      </c>
      <c r="F162">
        <v>500</v>
      </c>
      <c r="G162">
        <v>255</v>
      </c>
      <c r="H162">
        <v>196</v>
      </c>
      <c r="J162">
        <v>40</v>
      </c>
      <c r="N162">
        <v>146</v>
      </c>
      <c r="AJ162">
        <v>64</v>
      </c>
      <c r="AK162">
        <v>11.4</v>
      </c>
      <c r="AP162">
        <v>2300</v>
      </c>
      <c r="AR162">
        <v>240</v>
      </c>
      <c r="AV162">
        <v>435</v>
      </c>
      <c r="AW162">
        <v>295</v>
      </c>
      <c r="AX162">
        <v>251</v>
      </c>
      <c r="AY162">
        <v>273</v>
      </c>
      <c r="AZ162">
        <v>287</v>
      </c>
      <c r="BB162" s="42">
        <f>BB131</f>
        <v>394.8</v>
      </c>
      <c r="BC162" s="42">
        <f>BC131</f>
        <v>299.6</v>
      </c>
      <c r="BD162" s="42">
        <f>BD131</f>
        <v>313.2</v>
      </c>
      <c r="BE162" s="42">
        <f>BE131</f>
        <v>245</v>
      </c>
      <c r="BF162" s="42">
        <f>BF131</f>
        <v>264.6</v>
      </c>
      <c r="BH162" s="42">
        <f aca="true" t="shared" si="287" ref="BH162:BN162">BH131</f>
        <v>256.9</v>
      </c>
      <c r="BI162" s="42">
        <f t="shared" si="287"/>
        <v>46.9</v>
      </c>
      <c r="BJ162" s="42">
        <f t="shared" si="287"/>
        <v>9.4</v>
      </c>
      <c r="BK162" s="42">
        <f t="shared" si="287"/>
        <v>9.8</v>
      </c>
      <c r="BL162" s="42">
        <f t="shared" si="287"/>
        <v>34.7</v>
      </c>
      <c r="BM162" s="42">
        <f t="shared" si="287"/>
        <v>0</v>
      </c>
      <c r="BN162" s="42">
        <f t="shared" si="287"/>
        <v>0</v>
      </c>
      <c r="BO162" s="42">
        <f aca="true" t="shared" si="288" ref="BO162:BW162">BO131</f>
        <v>0</v>
      </c>
      <c r="BP162" s="42">
        <f t="shared" si="288"/>
        <v>2254.2</v>
      </c>
      <c r="BQ162" s="42">
        <f t="shared" si="288"/>
        <v>322.1</v>
      </c>
      <c r="BR162" s="42">
        <f t="shared" si="288"/>
        <v>192</v>
      </c>
      <c r="BS162" s="42">
        <f t="shared" si="288"/>
        <v>300</v>
      </c>
      <c r="BT162" s="42">
        <f t="shared" si="288"/>
        <v>65</v>
      </c>
      <c r="BU162" s="42">
        <f t="shared" si="288"/>
        <v>0</v>
      </c>
      <c r="BV162" s="42">
        <f t="shared" si="288"/>
        <v>0</v>
      </c>
      <c r="BW162" s="42">
        <f t="shared" si="288"/>
        <v>776.9000000000001</v>
      </c>
      <c r="BX162" s="42">
        <f aca="true" t="shared" si="289" ref="BX162:CD162">BX131</f>
        <v>278.5</v>
      </c>
      <c r="BY162" s="42">
        <f t="shared" si="289"/>
        <v>101.5</v>
      </c>
      <c r="BZ162" s="42">
        <f t="shared" si="289"/>
        <v>458.59999999999997</v>
      </c>
      <c r="CA162" s="42">
        <f t="shared" si="289"/>
        <v>281.2</v>
      </c>
      <c r="CB162" s="42">
        <f t="shared" si="289"/>
        <v>199.2</v>
      </c>
      <c r="CC162" s="42">
        <f t="shared" si="289"/>
        <v>308.7</v>
      </c>
      <c r="CD162" s="42">
        <f t="shared" si="289"/>
        <v>262.2</v>
      </c>
      <c r="CJ162" s="42">
        <f aca="true" t="shared" si="290" ref="CJ162:CQ162">CJ131</f>
        <v>442.8</v>
      </c>
      <c r="CK162" s="42">
        <f t="shared" si="290"/>
        <v>0</v>
      </c>
      <c r="CL162" s="42">
        <f t="shared" si="290"/>
        <v>0</v>
      </c>
      <c r="CM162" s="42">
        <f t="shared" si="290"/>
        <v>0</v>
      </c>
      <c r="CN162" s="42">
        <f t="shared" si="290"/>
        <v>0</v>
      </c>
      <c r="CO162" s="42">
        <f t="shared" si="290"/>
        <v>0</v>
      </c>
      <c r="CP162" s="42">
        <f t="shared" si="290"/>
        <v>2162.3499999999995</v>
      </c>
      <c r="CQ162" s="42">
        <f t="shared" si="290"/>
        <v>32.4</v>
      </c>
      <c r="DF162">
        <v>324.1</v>
      </c>
      <c r="DG162" s="42">
        <f aca="true" t="shared" si="291" ref="DG162:DQ162">DG131</f>
        <v>259.2</v>
      </c>
      <c r="DH162" s="42">
        <f t="shared" si="291"/>
        <v>319.3</v>
      </c>
      <c r="DI162" s="42">
        <f t="shared" si="291"/>
        <v>35</v>
      </c>
      <c r="DJ162" s="42">
        <f>DJ131+14.9</f>
        <v>29</v>
      </c>
      <c r="DK162" s="42">
        <f t="shared" si="291"/>
        <v>1.5</v>
      </c>
      <c r="DL162" s="42">
        <f t="shared" si="291"/>
        <v>12.7</v>
      </c>
      <c r="DM162" s="42">
        <f t="shared" si="291"/>
        <v>0</v>
      </c>
      <c r="DN162" s="42">
        <f t="shared" si="291"/>
        <v>64.3</v>
      </c>
      <c r="DO162" s="42">
        <f t="shared" si="291"/>
        <v>0</v>
      </c>
      <c r="DP162" s="42">
        <f t="shared" si="291"/>
        <v>1419.5</v>
      </c>
      <c r="DQ162" s="42">
        <f t="shared" si="291"/>
        <v>763.8</v>
      </c>
      <c r="EH162" s="42">
        <f>EH131</f>
        <v>185.70000000000002</v>
      </c>
      <c r="EI162" s="42">
        <f aca="true" t="shared" si="292" ref="EI162:FE162">EI131</f>
        <v>116.60000000000001</v>
      </c>
      <c r="EJ162" s="42">
        <f t="shared" si="292"/>
        <v>60</v>
      </c>
      <c r="EK162" s="42">
        <f t="shared" si="292"/>
        <v>38.1</v>
      </c>
      <c r="EL162" s="42">
        <f t="shared" si="292"/>
        <v>25</v>
      </c>
      <c r="EM162" s="42">
        <f t="shared" si="292"/>
        <v>0</v>
      </c>
      <c r="EN162" s="42">
        <f t="shared" si="292"/>
        <v>1.7</v>
      </c>
      <c r="EO162" s="42">
        <f t="shared" si="292"/>
        <v>0</v>
      </c>
      <c r="EP162" s="42">
        <f t="shared" si="292"/>
        <v>2164.5999999999995</v>
      </c>
      <c r="EQ162" s="42">
        <f t="shared" si="292"/>
        <v>238.1</v>
      </c>
      <c r="ER162" s="42">
        <f t="shared" si="292"/>
        <v>318.8</v>
      </c>
      <c r="ES162" s="42">
        <f t="shared" si="292"/>
        <v>180</v>
      </c>
      <c r="ET162" s="42">
        <f t="shared" si="292"/>
        <v>466.70000000000005</v>
      </c>
      <c r="EU162" s="42">
        <f t="shared" si="292"/>
        <v>250</v>
      </c>
      <c r="EV162" s="42">
        <f t="shared" si="292"/>
        <v>270.29999999999995</v>
      </c>
      <c r="EW162" s="42">
        <f t="shared" si="292"/>
        <v>280.2</v>
      </c>
      <c r="EX162" s="42">
        <f t="shared" si="292"/>
        <v>412.6</v>
      </c>
      <c r="EY162" s="42">
        <f t="shared" si="292"/>
        <v>0</v>
      </c>
      <c r="EZ162" s="42">
        <f t="shared" si="292"/>
        <v>403.3</v>
      </c>
      <c r="FA162" s="42">
        <f t="shared" si="292"/>
        <v>507.1</v>
      </c>
      <c r="FB162" s="42">
        <f t="shared" si="292"/>
        <v>237.2</v>
      </c>
      <c r="FC162" s="42">
        <f t="shared" si="292"/>
        <v>111.3</v>
      </c>
      <c r="FD162" s="42">
        <f t="shared" si="292"/>
        <v>384</v>
      </c>
      <c r="FE162" s="42">
        <f t="shared" si="292"/>
        <v>0</v>
      </c>
      <c r="FF162" s="42">
        <f aca="true" t="shared" si="293" ref="FF162:FO162">FF131</f>
        <v>443.65000000000003</v>
      </c>
      <c r="FG162" s="42">
        <f t="shared" si="293"/>
        <v>279.50000000000006</v>
      </c>
      <c r="FH162" s="42">
        <f t="shared" si="293"/>
        <v>306.4</v>
      </c>
      <c r="FI162" s="42">
        <f t="shared" si="293"/>
        <v>253.6</v>
      </c>
      <c r="FJ162" s="42">
        <f t="shared" si="293"/>
        <v>0</v>
      </c>
      <c r="FK162" s="42">
        <f t="shared" si="293"/>
        <v>2.1</v>
      </c>
      <c r="FL162" s="42">
        <f t="shared" si="293"/>
        <v>50</v>
      </c>
      <c r="FM162" s="42">
        <f t="shared" si="293"/>
        <v>0</v>
      </c>
      <c r="FN162" s="42">
        <f t="shared" si="293"/>
        <v>0</v>
      </c>
      <c r="FO162" s="42">
        <f t="shared" si="293"/>
        <v>0</v>
      </c>
      <c r="FP162" s="42">
        <f aca="true" t="shared" si="294" ref="FP162:FU162">FP131</f>
        <v>11.7</v>
      </c>
      <c r="FQ162" s="42">
        <f t="shared" si="294"/>
        <v>0</v>
      </c>
      <c r="FR162" s="42">
        <f t="shared" si="294"/>
        <v>2401.9999999999995</v>
      </c>
      <c r="FS162" s="42">
        <f t="shared" si="294"/>
        <v>240.7</v>
      </c>
      <c r="FT162" s="42">
        <f t="shared" si="294"/>
        <v>226</v>
      </c>
      <c r="FU162" s="42">
        <f t="shared" si="294"/>
        <v>196.1</v>
      </c>
    </row>
    <row r="163" spans="2:177" ht="15">
      <c r="B163" s="7"/>
      <c r="C163" s="10" t="s">
        <v>280</v>
      </c>
      <c r="F163" s="92">
        <f>E163+F160+F161-F162</f>
        <v>-25</v>
      </c>
      <c r="G163" s="92">
        <f>F163+G160+G161-G162</f>
        <v>-78</v>
      </c>
      <c r="H163" s="92">
        <f aca="true" t="shared" si="295" ref="H163:O163">G163+H160+H161-H162</f>
        <v>-133</v>
      </c>
      <c r="I163" s="92">
        <f t="shared" si="295"/>
        <v>-133</v>
      </c>
      <c r="J163" s="92">
        <f t="shared" si="295"/>
        <v>522</v>
      </c>
      <c r="K163" s="92">
        <f t="shared" si="295"/>
        <v>522</v>
      </c>
      <c r="L163" s="92">
        <f t="shared" si="295"/>
        <v>1179</v>
      </c>
      <c r="M163" s="92">
        <f t="shared" si="295"/>
        <v>1809</v>
      </c>
      <c r="N163" s="92">
        <f t="shared" si="295"/>
        <v>1663</v>
      </c>
      <c r="O163" s="92">
        <f t="shared" si="295"/>
        <v>1663</v>
      </c>
      <c r="AJ163" s="92">
        <f aca="true" t="shared" si="296" ref="AJ163:AS163">AI163+AJ160+AJ161-AJ162</f>
        <v>644</v>
      </c>
      <c r="AK163" s="92">
        <f t="shared" si="296"/>
        <v>852.6</v>
      </c>
      <c r="AL163" s="92">
        <f t="shared" si="296"/>
        <v>1349.6</v>
      </c>
      <c r="AM163" s="92">
        <f t="shared" si="296"/>
        <v>1789.6</v>
      </c>
      <c r="AN163" s="92">
        <f t="shared" si="296"/>
        <v>1839.6</v>
      </c>
      <c r="AO163" s="92">
        <f t="shared" si="296"/>
        <v>1839.6</v>
      </c>
      <c r="AP163" s="92">
        <f t="shared" si="296"/>
        <v>-190.4000000000001</v>
      </c>
      <c r="AQ163" s="92">
        <f t="shared" si="296"/>
        <v>-5.400000000000091</v>
      </c>
      <c r="AR163" s="92">
        <f t="shared" si="296"/>
        <v>-20.40000000000009</v>
      </c>
      <c r="AS163" s="92">
        <f t="shared" si="296"/>
        <v>-20.40000000000009</v>
      </c>
      <c r="AV163" s="92">
        <f>AU163+AV160+AV161-AV162</f>
        <v>-14</v>
      </c>
      <c r="AW163" s="92">
        <f>AV163+AW160+AW161-AW162</f>
        <v>-32</v>
      </c>
      <c r="AX163" s="92">
        <f>AW163+AX160+AX161-AX162</f>
        <v>-96</v>
      </c>
      <c r="AY163" s="92">
        <f>AX163+AY160+AY161-AY162</f>
        <v>-123</v>
      </c>
      <c r="AZ163" s="92">
        <f>AY163+AZ160+AZ161-AZ162</f>
        <v>-128</v>
      </c>
      <c r="BB163" s="92">
        <f aca="true" t="shared" si="297" ref="BB163:BN163">BA163+BB160+BB161-BB162</f>
        <v>59.19999999999999</v>
      </c>
      <c r="BC163" s="92">
        <f t="shared" si="297"/>
        <v>-40.400000000000034</v>
      </c>
      <c r="BD163" s="92">
        <f t="shared" si="297"/>
        <v>-38.60000000000002</v>
      </c>
      <c r="BE163" s="92">
        <f t="shared" si="297"/>
        <v>-64.60000000000002</v>
      </c>
      <c r="BF163" s="92">
        <f t="shared" si="297"/>
        <v>20.799999999999955</v>
      </c>
      <c r="BG163" s="92">
        <f t="shared" si="297"/>
        <v>20.799999999999955</v>
      </c>
      <c r="BH163" s="92">
        <f t="shared" si="297"/>
        <v>328.9</v>
      </c>
      <c r="BI163" s="92">
        <f t="shared" si="297"/>
        <v>514</v>
      </c>
      <c r="BJ163" s="92">
        <f t="shared" si="297"/>
        <v>704.6</v>
      </c>
      <c r="BK163" s="92">
        <f t="shared" si="297"/>
        <v>1112.8</v>
      </c>
      <c r="BL163" s="92">
        <f t="shared" si="297"/>
        <v>1473.1</v>
      </c>
      <c r="BM163" s="92">
        <f t="shared" si="297"/>
        <v>1628.1</v>
      </c>
      <c r="BN163" s="92">
        <f t="shared" si="297"/>
        <v>1828.1</v>
      </c>
      <c r="BO163" s="92">
        <f aca="true" t="shared" si="298" ref="BO163:BW163">BN163+BO160+BO161-BO162</f>
        <v>1918.1</v>
      </c>
      <c r="BP163" s="92">
        <f t="shared" si="298"/>
        <v>-6.099999999999909</v>
      </c>
      <c r="BQ163" s="92">
        <f t="shared" si="298"/>
        <v>-113.19999999999993</v>
      </c>
      <c r="BR163" s="92">
        <f t="shared" si="298"/>
        <v>-155.19999999999993</v>
      </c>
      <c r="BS163" s="92">
        <f t="shared" si="298"/>
        <v>-275.19999999999993</v>
      </c>
      <c r="BT163" s="92">
        <f t="shared" si="298"/>
        <v>-220.19999999999993</v>
      </c>
      <c r="BU163" s="92">
        <f t="shared" si="298"/>
        <v>-90.19999999999993</v>
      </c>
      <c r="BV163" s="92">
        <f t="shared" si="298"/>
        <v>-90.19999999999993</v>
      </c>
      <c r="BW163" s="92">
        <f t="shared" si="298"/>
        <v>-697.1</v>
      </c>
      <c r="BX163" s="92">
        <f aca="true" t="shared" si="299" ref="BX163:CD163">BW163+BX160+BX161-BX162</f>
        <v>-805.6</v>
      </c>
      <c r="BY163" s="92">
        <f t="shared" si="299"/>
        <v>-907.1</v>
      </c>
      <c r="BZ163" s="92">
        <f t="shared" si="299"/>
        <v>-1365.7</v>
      </c>
      <c r="CA163" s="92">
        <f t="shared" si="299"/>
        <v>-1646.9</v>
      </c>
      <c r="CB163" s="92">
        <f t="shared" si="299"/>
        <v>-1846.1000000000001</v>
      </c>
      <c r="CC163" s="92">
        <f t="shared" si="299"/>
        <v>-2154.8</v>
      </c>
      <c r="CD163" s="92">
        <f t="shared" si="299"/>
        <v>-2417</v>
      </c>
      <c r="CJ163" s="92">
        <f aca="true" t="shared" si="300" ref="CJ163:CQ163">CI163+CJ160+CJ161-CJ162</f>
        <v>-15.800000000000011</v>
      </c>
      <c r="CK163" s="92">
        <f t="shared" si="300"/>
        <v>-15.800000000000011</v>
      </c>
      <c r="CL163" s="92">
        <f t="shared" si="300"/>
        <v>460.2</v>
      </c>
      <c r="CM163" s="92">
        <f t="shared" si="300"/>
        <v>711.2</v>
      </c>
      <c r="CN163" s="92">
        <f t="shared" si="300"/>
        <v>1436.2</v>
      </c>
      <c r="CO163" s="92">
        <f t="shared" si="300"/>
        <v>1586.2</v>
      </c>
      <c r="CP163" s="92">
        <f t="shared" si="300"/>
        <v>-356.1499999999994</v>
      </c>
      <c r="CQ163" s="92">
        <f t="shared" si="300"/>
        <v>-388.5499999999994</v>
      </c>
      <c r="DF163" s="92">
        <f aca="true" t="shared" si="301" ref="DF163:DQ163">DE163+DF160+DF161-DF162</f>
        <v>-115.90000000000003</v>
      </c>
      <c r="DG163" s="92">
        <f t="shared" si="301"/>
        <v>-247.10000000000002</v>
      </c>
      <c r="DH163" s="92">
        <f t="shared" si="301"/>
        <v>-284.40000000000003</v>
      </c>
      <c r="DI163" s="92">
        <f t="shared" si="301"/>
        <v>-319.40000000000003</v>
      </c>
      <c r="DJ163" s="92">
        <f t="shared" si="301"/>
        <v>63.599999999999966</v>
      </c>
      <c r="DK163" s="92">
        <f t="shared" si="301"/>
        <v>325.09999999999997</v>
      </c>
      <c r="DL163" s="92">
        <f t="shared" si="301"/>
        <v>668.3999999999999</v>
      </c>
      <c r="DM163" s="92">
        <f t="shared" si="301"/>
        <v>1528.3999999999999</v>
      </c>
      <c r="DN163" s="92">
        <f t="shared" si="301"/>
        <v>1544.1</v>
      </c>
      <c r="DO163" s="92">
        <f t="shared" si="301"/>
        <v>1544.1</v>
      </c>
      <c r="DP163" s="92">
        <f t="shared" si="301"/>
        <v>519.5999999999999</v>
      </c>
      <c r="DQ163" s="92">
        <f t="shared" si="301"/>
        <v>-244.20000000000005</v>
      </c>
      <c r="EH163" s="92">
        <f aca="true" t="shared" si="302" ref="EH163:EQ163">EG163+EH160+EH161-EH162</f>
        <v>218.6</v>
      </c>
      <c r="EI163" s="92">
        <f t="shared" si="302"/>
        <v>267</v>
      </c>
      <c r="EJ163" s="92">
        <f t="shared" si="302"/>
        <v>504</v>
      </c>
      <c r="EK163" s="92">
        <f t="shared" si="302"/>
        <v>634.9</v>
      </c>
      <c r="EL163" s="92">
        <f t="shared" si="302"/>
        <v>896.9</v>
      </c>
      <c r="EM163" s="92">
        <f t="shared" si="302"/>
        <v>896.9</v>
      </c>
      <c r="EN163" s="92">
        <f t="shared" si="302"/>
        <v>1735.2</v>
      </c>
      <c r="EO163" s="92">
        <f t="shared" si="302"/>
        <v>1845.2</v>
      </c>
      <c r="EP163" s="92">
        <f t="shared" si="302"/>
        <v>-94.39999999999964</v>
      </c>
      <c r="EQ163" s="92">
        <f t="shared" si="302"/>
        <v>-132.49999999999963</v>
      </c>
      <c r="ER163" s="92">
        <f aca="true" t="shared" si="303" ref="ER163:FE163">EQ163+ER160+ER161-ER162</f>
        <v>-226.29999999999964</v>
      </c>
      <c r="ES163" s="92">
        <f t="shared" si="303"/>
        <v>-406.2999999999996</v>
      </c>
      <c r="ET163" s="92">
        <f t="shared" si="303"/>
        <v>-427.99999999999966</v>
      </c>
      <c r="EU163" s="92">
        <f t="shared" si="303"/>
        <v>-460.99999999999966</v>
      </c>
      <c r="EV163" s="92">
        <f t="shared" si="303"/>
        <v>-446.2999999999996</v>
      </c>
      <c r="EW163" s="92">
        <f t="shared" si="303"/>
        <v>-456.4999999999996</v>
      </c>
      <c r="EX163" s="92">
        <f t="shared" si="303"/>
        <v>-459.0999999999996</v>
      </c>
      <c r="EY163" s="92">
        <f t="shared" si="303"/>
        <v>-459.0999999999996</v>
      </c>
      <c r="EZ163" s="92">
        <f t="shared" si="303"/>
        <v>-342.39999999999964</v>
      </c>
      <c r="FA163" s="92">
        <f t="shared" si="303"/>
        <v>-539.4999999999997</v>
      </c>
      <c r="FB163" s="92">
        <f t="shared" si="303"/>
        <v>-566.6999999999996</v>
      </c>
      <c r="FC163" s="92">
        <f t="shared" si="303"/>
        <v>-357.9999999999996</v>
      </c>
      <c r="FD163" s="92">
        <f t="shared" si="303"/>
        <v>-406.9999999999996</v>
      </c>
      <c r="FE163" s="92">
        <f t="shared" si="303"/>
        <v>-274.9999999999996</v>
      </c>
      <c r="FF163" s="92">
        <f aca="true" t="shared" si="304" ref="FF163:FO163">FE163+FF160+FF161-FF162</f>
        <v>-240.64999999999964</v>
      </c>
      <c r="FG163" s="92">
        <f t="shared" si="304"/>
        <v>-399.1499999999997</v>
      </c>
      <c r="FH163" s="92">
        <f t="shared" si="304"/>
        <v>-389.54999999999967</v>
      </c>
      <c r="FI163" s="92">
        <f t="shared" si="304"/>
        <v>-356.14999999999964</v>
      </c>
      <c r="FJ163" s="92">
        <f t="shared" si="304"/>
        <v>-139.14999999999964</v>
      </c>
      <c r="FK163" s="92">
        <f t="shared" si="304"/>
        <v>-141.24999999999963</v>
      </c>
      <c r="FL163" s="92">
        <f t="shared" si="304"/>
        <v>213.75000000000034</v>
      </c>
      <c r="FM163" s="92">
        <f t="shared" si="304"/>
        <v>403.75000000000034</v>
      </c>
      <c r="FN163" s="92">
        <f t="shared" si="304"/>
        <v>618.7500000000003</v>
      </c>
      <c r="FO163" s="92">
        <f t="shared" si="304"/>
        <v>1278.7500000000005</v>
      </c>
      <c r="FP163" s="92">
        <f aca="true" t="shared" si="305" ref="FP163:FU163">FO163+FP160+FP161-FP162</f>
        <v>1352.0500000000004</v>
      </c>
      <c r="FQ163" s="92">
        <f t="shared" si="305"/>
        <v>1352.0500000000004</v>
      </c>
      <c r="FR163" s="92">
        <f t="shared" si="305"/>
        <v>-684.9499999999991</v>
      </c>
      <c r="FS163" s="92">
        <f t="shared" si="305"/>
        <v>-925.6499999999992</v>
      </c>
      <c r="FT163" s="92">
        <f t="shared" si="305"/>
        <v>-1151.6499999999992</v>
      </c>
      <c r="FU163" s="92">
        <f t="shared" si="305"/>
        <v>-1347.749999999999</v>
      </c>
    </row>
    <row r="164" spans="2:120" ht="25.5">
      <c r="B164" s="7"/>
      <c r="C164" s="10" t="s">
        <v>281</v>
      </c>
      <c r="BT164"/>
      <c r="BU164"/>
      <c r="BV164"/>
      <c r="CP164">
        <v>95</v>
      </c>
      <c r="DP164">
        <v>200</v>
      </c>
    </row>
    <row r="165" spans="2:177" ht="26.25">
      <c r="B165" s="7"/>
      <c r="C165" s="10" t="s">
        <v>282</v>
      </c>
      <c r="E165">
        <v>1660</v>
      </c>
      <c r="F165" s="92">
        <f>E165-F160-F161+F162</f>
        <v>1685</v>
      </c>
      <c r="G165" s="92">
        <f>F165-G160-G161+G162</f>
        <v>1738</v>
      </c>
      <c r="H165" s="92">
        <f aca="true" t="shared" si="306" ref="H165:O165">G165-H160-H161+H162</f>
        <v>1793</v>
      </c>
      <c r="I165" s="92">
        <f t="shared" si="306"/>
        <v>1793</v>
      </c>
      <c r="J165" s="92">
        <f t="shared" si="306"/>
        <v>1138</v>
      </c>
      <c r="K165" s="92">
        <f t="shared" si="306"/>
        <v>1138</v>
      </c>
      <c r="L165" s="92">
        <f t="shared" si="306"/>
        <v>481</v>
      </c>
      <c r="M165" s="92">
        <f t="shared" si="306"/>
        <v>-149</v>
      </c>
      <c r="N165" s="92">
        <f t="shared" si="306"/>
        <v>-3</v>
      </c>
      <c r="O165" s="92">
        <f t="shared" si="306"/>
        <v>-3</v>
      </c>
      <c r="AI165">
        <v>1780</v>
      </c>
      <c r="AJ165" s="92">
        <f aca="true" t="shared" si="307" ref="AJ165:AS165">AI165-AJ160-AJ161+AJ162</f>
        <v>1136</v>
      </c>
      <c r="AK165" s="92">
        <f t="shared" si="307"/>
        <v>927.4</v>
      </c>
      <c r="AL165" s="92">
        <f t="shared" si="307"/>
        <v>430.4</v>
      </c>
      <c r="AM165" s="92">
        <f t="shared" si="307"/>
        <v>-9.600000000000023</v>
      </c>
      <c r="AN165" s="92">
        <f t="shared" si="307"/>
        <v>-59.60000000000002</v>
      </c>
      <c r="AO165" s="92">
        <f t="shared" si="307"/>
        <v>-59.60000000000002</v>
      </c>
      <c r="AP165" s="92">
        <f t="shared" si="307"/>
        <v>1970.4</v>
      </c>
      <c r="AQ165" s="92">
        <f t="shared" si="307"/>
        <v>1785.4</v>
      </c>
      <c r="AR165" s="92">
        <f t="shared" si="307"/>
        <v>1800.4</v>
      </c>
      <c r="AS165" s="92">
        <f t="shared" si="307"/>
        <v>1800.4</v>
      </c>
      <c r="AU165">
        <v>1659</v>
      </c>
      <c r="AV165" s="92">
        <f>AU165-AV160-AV161+AV162</f>
        <v>1673</v>
      </c>
      <c r="AW165" s="92">
        <f>AV165-AW160-AW161+AW162</f>
        <v>1691</v>
      </c>
      <c r="AX165" s="92">
        <f>AW165-AX160-AX161+AX162</f>
        <v>1755</v>
      </c>
      <c r="AY165" s="92">
        <f>AX165-AY160-AY161+AY162</f>
        <v>1782</v>
      </c>
      <c r="AZ165" s="92">
        <f>AY165-AZ160-AZ161+AZ162</f>
        <v>1787</v>
      </c>
      <c r="BA165" s="92">
        <f aca="true" t="shared" si="308" ref="BA165:BN165">AZ165-BA160-BA161+BA162</f>
        <v>1787</v>
      </c>
      <c r="BB165" s="92">
        <f t="shared" si="308"/>
        <v>1727.8</v>
      </c>
      <c r="BC165" s="92">
        <f t="shared" si="308"/>
        <v>1827.4</v>
      </c>
      <c r="BD165" s="92">
        <f t="shared" si="308"/>
        <v>1825.6000000000001</v>
      </c>
      <c r="BE165" s="92">
        <f t="shared" si="308"/>
        <v>1851.6000000000001</v>
      </c>
      <c r="BF165" s="92">
        <f t="shared" si="308"/>
        <v>1766.2000000000003</v>
      </c>
      <c r="BG165" s="92">
        <f t="shared" si="308"/>
        <v>1766.2000000000003</v>
      </c>
      <c r="BH165" s="92">
        <f t="shared" si="308"/>
        <v>1458.1000000000004</v>
      </c>
      <c r="BI165" s="92">
        <f t="shared" si="308"/>
        <v>1273.0000000000005</v>
      </c>
      <c r="BJ165" s="92">
        <f t="shared" si="308"/>
        <v>1082.4000000000005</v>
      </c>
      <c r="BK165" s="92">
        <f t="shared" si="308"/>
        <v>674.2000000000005</v>
      </c>
      <c r="BL165" s="92">
        <f t="shared" si="308"/>
        <v>313.9000000000005</v>
      </c>
      <c r="BM165" s="92">
        <f t="shared" si="308"/>
        <v>158.9000000000005</v>
      </c>
      <c r="BN165" s="92">
        <f t="shared" si="308"/>
        <v>-41.09999999999951</v>
      </c>
      <c r="BO165" s="92">
        <f aca="true" t="shared" si="309" ref="BO165:BW165">BN165-BO160-BO161+BO162</f>
        <v>-131.0999999999995</v>
      </c>
      <c r="BP165" s="92">
        <f t="shared" si="309"/>
        <v>1793.1000000000004</v>
      </c>
      <c r="BQ165" s="92">
        <f t="shared" si="309"/>
        <v>1900.2000000000003</v>
      </c>
      <c r="BR165" s="92">
        <f t="shared" si="309"/>
        <v>1942.2000000000003</v>
      </c>
      <c r="BS165" s="92">
        <f t="shared" si="309"/>
        <v>2062.2000000000003</v>
      </c>
      <c r="BT165" s="92">
        <f t="shared" si="309"/>
        <v>2007.2000000000003</v>
      </c>
      <c r="BU165" s="92">
        <f t="shared" si="309"/>
        <v>1877.2000000000003</v>
      </c>
      <c r="BV165" s="92">
        <f t="shared" si="309"/>
        <v>1877.2000000000003</v>
      </c>
      <c r="BW165" s="92">
        <f t="shared" si="309"/>
        <v>2484.1000000000004</v>
      </c>
      <c r="BX165" s="92">
        <f aca="true" t="shared" si="310" ref="BX165:CD165">BW165-BX160-BX161+BX162</f>
        <v>2592.6000000000004</v>
      </c>
      <c r="BY165" s="92">
        <f t="shared" si="310"/>
        <v>2694.1000000000004</v>
      </c>
      <c r="BZ165" s="92">
        <f t="shared" si="310"/>
        <v>3152.7000000000003</v>
      </c>
      <c r="CA165" s="92">
        <f t="shared" si="310"/>
        <v>3433.9</v>
      </c>
      <c r="CB165" s="92">
        <f t="shared" si="310"/>
        <v>3633.1</v>
      </c>
      <c r="CC165" s="92">
        <f t="shared" si="310"/>
        <v>3941.7999999999997</v>
      </c>
      <c r="CD165" s="92">
        <f t="shared" si="310"/>
        <v>4204</v>
      </c>
      <c r="CI165">
        <v>1435</v>
      </c>
      <c r="CJ165" s="92">
        <f aca="true" t="shared" si="311" ref="CJ165:CQ165">CI165-CJ160-CJ161+CJ162</f>
        <v>1450.8</v>
      </c>
      <c r="CK165" s="92">
        <f t="shared" si="311"/>
        <v>1450.8</v>
      </c>
      <c r="CL165" s="92">
        <f t="shared" si="311"/>
        <v>974.8</v>
      </c>
      <c r="CM165" s="92">
        <f t="shared" si="311"/>
        <v>723.8</v>
      </c>
      <c r="CN165" s="92">
        <f t="shared" si="311"/>
        <v>-1.2000000000000455</v>
      </c>
      <c r="CO165" s="42">
        <f>CN165-CO160-CO161+CO162</f>
        <v>-151.20000000000005</v>
      </c>
      <c r="CP165" s="92">
        <f t="shared" si="311"/>
        <v>1791.1499999999994</v>
      </c>
      <c r="CQ165" s="92">
        <f t="shared" si="311"/>
        <v>1823.5499999999995</v>
      </c>
      <c r="DE165">
        <v>1532.9</v>
      </c>
      <c r="DF165" s="92">
        <f aca="true" t="shared" si="312" ref="DF165:DQ165">DE165-DF160-DF161+DF162</f>
        <v>1648.8000000000002</v>
      </c>
      <c r="DG165" s="92">
        <f t="shared" si="312"/>
        <v>1780.0000000000002</v>
      </c>
      <c r="DH165" s="92">
        <f t="shared" si="312"/>
        <v>1817.3000000000002</v>
      </c>
      <c r="DI165" s="92">
        <f t="shared" si="312"/>
        <v>1852.3000000000002</v>
      </c>
      <c r="DJ165" s="92">
        <f t="shared" si="312"/>
        <v>1469.3000000000002</v>
      </c>
      <c r="DK165" s="92">
        <f t="shared" si="312"/>
        <v>1207.8000000000002</v>
      </c>
      <c r="DL165" s="92">
        <f t="shared" si="312"/>
        <v>864.5000000000002</v>
      </c>
      <c r="DM165" s="92">
        <f t="shared" si="312"/>
        <v>4.500000000000227</v>
      </c>
      <c r="DN165" s="92">
        <f t="shared" si="312"/>
        <v>-11.199999999999775</v>
      </c>
      <c r="DO165" s="92">
        <f t="shared" si="312"/>
        <v>-11.199999999999775</v>
      </c>
      <c r="DP165" s="92">
        <f t="shared" si="312"/>
        <v>1013.3000000000002</v>
      </c>
      <c r="DQ165" s="92">
        <f t="shared" si="312"/>
        <v>1777.1000000000001</v>
      </c>
      <c r="EG165">
        <v>1745</v>
      </c>
      <c r="EH165" s="92">
        <f aca="true" t="shared" si="313" ref="EH165:EQ165">EG165-EH160-EH161+EH162</f>
        <v>1526.4</v>
      </c>
      <c r="EI165" s="92">
        <f t="shared" si="313"/>
        <v>1478</v>
      </c>
      <c r="EJ165" s="92">
        <f t="shared" si="313"/>
        <v>1241</v>
      </c>
      <c r="EK165" s="92">
        <f t="shared" si="313"/>
        <v>1110.1</v>
      </c>
      <c r="EL165" s="92">
        <f t="shared" si="313"/>
        <v>848.0999999999999</v>
      </c>
      <c r="EM165" s="92">
        <f t="shared" si="313"/>
        <v>848.0999999999999</v>
      </c>
      <c r="EN165" s="92">
        <f t="shared" si="313"/>
        <v>9.799999999999908</v>
      </c>
      <c r="EO165" s="42">
        <f>EN165-EO160-EO161+EO162</f>
        <v>-100.20000000000009</v>
      </c>
      <c r="EP165" s="92">
        <f t="shared" si="313"/>
        <v>1839.3999999999994</v>
      </c>
      <c r="EQ165" s="92">
        <f t="shared" si="313"/>
        <v>1877.4999999999993</v>
      </c>
      <c r="ER165" s="92">
        <f aca="true" t="shared" si="314" ref="ER165:FE165">EQ165-ER160-ER161+ER162</f>
        <v>1971.2999999999993</v>
      </c>
      <c r="ES165" s="92">
        <f t="shared" si="314"/>
        <v>2151.2999999999993</v>
      </c>
      <c r="ET165" s="92">
        <f t="shared" si="314"/>
        <v>2172.999999999999</v>
      </c>
      <c r="EU165" s="92">
        <f t="shared" si="314"/>
        <v>2205.999999999999</v>
      </c>
      <c r="EV165" s="92">
        <f t="shared" si="314"/>
        <v>2191.2999999999993</v>
      </c>
      <c r="EW165" s="92">
        <f t="shared" si="314"/>
        <v>2201.499999999999</v>
      </c>
      <c r="EX165" s="92">
        <f t="shared" si="314"/>
        <v>2204.099999999999</v>
      </c>
      <c r="EY165" s="92">
        <v>1816</v>
      </c>
      <c r="EZ165" s="92">
        <f t="shared" si="314"/>
        <v>1699.3</v>
      </c>
      <c r="FA165" s="92">
        <f t="shared" si="314"/>
        <v>1896.4</v>
      </c>
      <c r="FB165" s="92">
        <f t="shared" si="314"/>
        <v>1923.6000000000001</v>
      </c>
      <c r="FC165" s="92">
        <f t="shared" si="314"/>
        <v>1714.9</v>
      </c>
      <c r="FD165" s="92">
        <f t="shared" si="314"/>
        <v>1763.9</v>
      </c>
      <c r="FE165" s="92">
        <f t="shared" si="314"/>
        <v>1631.9</v>
      </c>
      <c r="FF165" s="92">
        <f aca="true" t="shared" si="315" ref="FF165:FO165">FE165-FF160-FF161+FF162</f>
        <v>1597.5500000000002</v>
      </c>
      <c r="FG165" s="92">
        <f t="shared" si="315"/>
        <v>1756.0500000000002</v>
      </c>
      <c r="FH165" s="92">
        <f t="shared" si="315"/>
        <v>1746.4500000000003</v>
      </c>
      <c r="FI165" s="92">
        <f t="shared" si="315"/>
        <v>1713.0500000000002</v>
      </c>
      <c r="FJ165" s="92">
        <f t="shared" si="315"/>
        <v>1496.0500000000002</v>
      </c>
      <c r="FK165" s="92">
        <f t="shared" si="315"/>
        <v>1498.15</v>
      </c>
      <c r="FL165" s="92">
        <f t="shared" si="315"/>
        <v>1143.15</v>
      </c>
      <c r="FM165" s="92">
        <f t="shared" si="315"/>
        <v>953.1500000000001</v>
      </c>
      <c r="FN165" s="92">
        <f t="shared" si="315"/>
        <v>738.1500000000001</v>
      </c>
      <c r="FO165" s="92">
        <f t="shared" si="315"/>
        <v>78.15000000000009</v>
      </c>
      <c r="FP165" s="92">
        <f aca="true" t="shared" si="316" ref="FP165:FU165">FO165-FP160-FP161+FP162</f>
        <v>4.85000000000009</v>
      </c>
      <c r="FQ165" s="92">
        <f t="shared" si="316"/>
        <v>4.85000000000009</v>
      </c>
      <c r="FR165" s="92">
        <f t="shared" si="316"/>
        <v>2041.8499999999997</v>
      </c>
      <c r="FS165" s="92">
        <f t="shared" si="316"/>
        <v>2282.5499999999997</v>
      </c>
      <c r="FT165" s="92">
        <f t="shared" si="316"/>
        <v>2508.5499999999997</v>
      </c>
      <c r="FU165" s="92">
        <f t="shared" si="316"/>
        <v>2704.6499999999996</v>
      </c>
    </row>
    <row r="166" spans="2:3" ht="15">
      <c r="B166" s="7"/>
      <c r="C166" s="7"/>
    </row>
    <row r="167" spans="2:64" ht="60">
      <c r="B167" s="7"/>
      <c r="C167" s="4"/>
      <c r="M167" s="94" t="s">
        <v>283</v>
      </c>
      <c r="AM167" s="94" t="s">
        <v>284</v>
      </c>
      <c r="BI167" s="13" t="s">
        <v>285</v>
      </c>
      <c r="BL167" s="13" t="s">
        <v>286</v>
      </c>
    </row>
    <row r="168" spans="2:64" ht="120">
      <c r="B168" s="7"/>
      <c r="C168" s="4"/>
      <c r="J168" s="13" t="s">
        <v>287</v>
      </c>
      <c r="L168" s="13" t="s">
        <v>288</v>
      </c>
      <c r="M168" s="95" t="s">
        <v>289</v>
      </c>
      <c r="AM168" s="96" t="s">
        <v>290</v>
      </c>
      <c r="BL168" s="96" t="s">
        <v>291</v>
      </c>
    </row>
    <row r="169" spans="2:3" ht="15">
      <c r="B169" s="7"/>
      <c r="C169" s="7"/>
    </row>
    <row r="170" spans="2:3" ht="15">
      <c r="B170" s="7"/>
      <c r="C170" s="7"/>
    </row>
    <row r="171" spans="2:3" ht="15">
      <c r="B171" s="7"/>
      <c r="C171" s="7"/>
    </row>
    <row r="172" spans="2:3" ht="15">
      <c r="B172" s="7"/>
      <c r="C172" s="7"/>
    </row>
    <row r="173" spans="2:3" ht="15">
      <c r="B173" s="7"/>
      <c r="C173" s="7"/>
    </row>
    <row r="174" spans="2:3" ht="15">
      <c r="B174" s="7"/>
      <c r="C174" s="7"/>
    </row>
    <row r="175" spans="2:3" ht="15">
      <c r="B175" s="7"/>
      <c r="C175" s="7"/>
    </row>
    <row r="176" spans="2:3" ht="15">
      <c r="B176" s="7"/>
      <c r="C176" s="7"/>
    </row>
    <row r="177" spans="2:3" ht="15">
      <c r="B177" s="7"/>
      <c r="C177" s="7"/>
    </row>
    <row r="178" spans="2:3" ht="15">
      <c r="B178" s="7"/>
      <c r="C178" s="7"/>
    </row>
    <row r="179" spans="2:3" ht="15">
      <c r="B179" s="7"/>
      <c r="C179" s="7"/>
    </row>
    <row r="180" spans="2:3" ht="15">
      <c r="B180" s="7"/>
      <c r="C180" s="7"/>
    </row>
    <row r="181" spans="2:3" ht="15">
      <c r="B181" s="7"/>
      <c r="C181" s="7"/>
    </row>
    <row r="182" spans="2:3" ht="15">
      <c r="B182" s="7"/>
      <c r="C182" s="7"/>
    </row>
    <row r="183" spans="2:3" ht="15">
      <c r="B183" s="7"/>
      <c r="C183" s="7"/>
    </row>
    <row r="184" spans="2:3" ht="15">
      <c r="B184" s="7"/>
      <c r="C184" s="7"/>
    </row>
    <row r="185" spans="2:3" ht="15">
      <c r="B185" s="7"/>
      <c r="C185" s="7"/>
    </row>
    <row r="186" spans="2:3" ht="15">
      <c r="B186" s="7"/>
      <c r="C186" s="7"/>
    </row>
    <row r="187" spans="2:3" ht="15">
      <c r="B187" s="7"/>
      <c r="C187" s="7"/>
    </row>
    <row r="188" spans="2:3" ht="15">
      <c r="B188" s="7"/>
      <c r="C188" s="7"/>
    </row>
    <row r="189" spans="2:3" ht="15">
      <c r="B189" s="7"/>
      <c r="C189" s="7"/>
    </row>
    <row r="190" spans="2:3" ht="15">
      <c r="B190" s="7"/>
      <c r="C190" s="7"/>
    </row>
    <row r="191" spans="2:3" ht="15">
      <c r="B191" s="7"/>
      <c r="C191" s="7"/>
    </row>
    <row r="192" spans="2:3" ht="15">
      <c r="B192" s="7"/>
      <c r="C192" s="7"/>
    </row>
    <row r="193" spans="2:3" ht="15">
      <c r="B193" s="7"/>
      <c r="C193" s="7"/>
    </row>
    <row r="194" spans="2:3" ht="15">
      <c r="B194" s="7"/>
      <c r="C194" s="7"/>
    </row>
    <row r="195" spans="2:3" ht="15">
      <c r="B195" s="7"/>
      <c r="C195" s="7"/>
    </row>
    <row r="196" spans="2:3" ht="15">
      <c r="B196" s="7"/>
      <c r="C196" s="7"/>
    </row>
    <row r="197" spans="2:3" ht="15">
      <c r="B197" s="7"/>
      <c r="C197" s="7"/>
    </row>
    <row r="198" spans="2:3" ht="15">
      <c r="B198" s="7"/>
      <c r="C198" s="7"/>
    </row>
    <row r="199" spans="2:3" ht="15">
      <c r="B199" s="7"/>
      <c r="C199" s="7"/>
    </row>
    <row r="200" spans="2:3" ht="15">
      <c r="B200" s="7"/>
      <c r="C200" s="7"/>
    </row>
    <row r="201" spans="2:3" ht="15">
      <c r="B201" s="7"/>
      <c r="C201" s="7"/>
    </row>
    <row r="202" spans="2:3" ht="15">
      <c r="B202" s="7"/>
      <c r="C202" s="7"/>
    </row>
    <row r="203" spans="2:3" ht="15">
      <c r="B203" s="7"/>
      <c r="C203" s="7"/>
    </row>
    <row r="204" ht="15">
      <c r="C204" s="7"/>
    </row>
    <row r="205" ht="15">
      <c r="C205" s="7"/>
    </row>
    <row r="206" ht="15">
      <c r="C206" s="7"/>
    </row>
    <row r="207" ht="15">
      <c r="C207" s="7"/>
    </row>
    <row r="208" ht="15">
      <c r="C208" s="7"/>
    </row>
    <row r="209" ht="15">
      <c r="C209" s="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Roman</cp:lastModifiedBy>
  <dcterms:modified xsi:type="dcterms:W3CDTF">2013-10-31T15:38:45Z</dcterms:modified>
  <cp:category/>
  <cp:version/>
  <cp:contentType/>
  <cp:contentStatus/>
</cp:coreProperties>
</file>